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never" codeName="ThisWorkbook"/>
  <mc:AlternateContent xmlns:mc="http://schemas.openxmlformats.org/markup-compatibility/2006">
    <mc:Choice Requires="x15">
      <x15ac:absPath xmlns:x15ac="http://schemas.microsoft.com/office/spreadsheetml/2010/11/ac" url="D:\IGGYSeven\TRPG\DND5E\冒险者\"/>
    </mc:Choice>
  </mc:AlternateContent>
  <xr:revisionPtr revIDLastSave="0" documentId="13_ncr:1_{130D897A-7B39-4C12-B4A3-2562562FDA47}" xr6:coauthVersionLast="47" xr6:coauthVersionMax="47" xr10:uidLastSave="{00000000-0000-0000-0000-000000000000}"/>
  <bookViews>
    <workbookView xWindow="384" yWindow="384" windowWidth="21084" windowHeight="12012" tabRatio="748" activeTab="1" xr2:uid="{00000000-000D-0000-FFFF-FFFF00000000}"/>
  </bookViews>
  <sheets>
    <sheet name="背景" sheetId="17" r:id="rId1"/>
    <sheet name="主要" sheetId="2" r:id="rId2"/>
    <sheet name="数据表" sheetId="10" state="hidden" r:id="rId3"/>
    <sheet name="专长" sheetId="29" state="hidden" r:id="rId4"/>
    <sheet name="职业" sheetId="18" state="hidden" r:id="rId5"/>
    <sheet name="装备" sheetId="16" state="hidden" r:id="rId6"/>
    <sheet name="种族" sheetId="27" state="hidden" r:id="rId7"/>
    <sheet name="背景数据" sheetId="26" state="hidden" r:id="rId8"/>
    <sheet name="背包" sheetId="3" r:id="rId9"/>
    <sheet name="盟友与魔宠" sheetId="31" r:id="rId10"/>
    <sheet name="据点" sheetId="30" r:id="rId11"/>
    <sheet name="法术书" sheetId="8" r:id="rId12"/>
    <sheet name="法术大全" sheetId="24" r:id="rId13"/>
    <sheet name="自定义调整栏" sheetId="4" r:id="rId14"/>
    <sheet name="圆形效应范围" sheetId="32" r:id="rId15"/>
    <sheet name="骰娘导入" sheetId="28" r:id="rId16"/>
    <sheet name="更新" sheetId="25" r:id="rId17"/>
    <sheet name=" " sheetId="22" state="hidden" r:id="rId18"/>
  </sheets>
  <externalReferences>
    <externalReference r:id="rId19"/>
  </externalReferences>
  <definedNames>
    <definedName name="_xlnm._FilterDatabase" localSheetId="12" hidden="1">法术大全!$A$2:$Z$595</definedName>
    <definedName name="DEX">[1]主要情况!$G$10</definedName>
    <definedName name="_xlnm.Print_Area" localSheetId="1">主要!$A$1:$AU$128</definedName>
    <definedName name="STR">[1]主要情况!$G$8</definedName>
    <definedName name="阿兰寇拉">数据表!#REF!</definedName>
    <definedName name="阿斯莫">数据表!#REF!</definedName>
    <definedName name="矮人">数据表!#REF!</definedName>
    <definedName name="斑猫人">数据表!#REF!</definedName>
    <definedName name="半精灵">数据表!#REF!</definedName>
    <definedName name="半人马">数据表!#REF!</definedName>
    <definedName name="半身人">数据表!#REF!</definedName>
    <definedName name="半兽人">数据表!#REF!</definedName>
    <definedName name="匕首">装备!$K$5</definedName>
    <definedName name="匕首伤害">装备!#REF!</definedName>
    <definedName name="鞭">装备!$K$35</definedName>
    <definedName name="鞭伤害">装备!#REF!</definedName>
    <definedName name="标枪">装备!$K$8</definedName>
    <definedName name="标枪伤害">装备!#REF!</definedName>
    <definedName name="捕网">装备!$K$40</definedName>
    <definedName name="捕网伤害">装备!#REF!</definedName>
    <definedName name="吹箭筒">装备!$K$36</definedName>
    <definedName name="吹箭筒伤害">装备!#REF!</definedName>
    <definedName name="纯种蛇人">数据表!#REF!</definedName>
    <definedName name="刺剑">装备!$K$29</definedName>
    <definedName name="刺剑伤害">装备!#REF!</definedName>
    <definedName name="地精">数据表!#REF!</definedName>
    <definedName name="钉头锤">装备!$K$27</definedName>
    <definedName name="钉头锤伤害">装备!#REF!</definedName>
    <definedName name="短棒">装备!$K$4</definedName>
    <definedName name="短棒伤害">装备!#REF!</definedName>
    <definedName name="短弓">装备!$K$16</definedName>
    <definedName name="短弓伤害">装备!#REF!</definedName>
    <definedName name="短剑">装备!$K$31</definedName>
    <definedName name="短剑伤害">装备!#REF!</definedName>
    <definedName name="飞镖">装备!$K$15</definedName>
    <definedName name="飞镖伤害">装备!#REF!</definedName>
    <definedName name="费尔伯格人">数据表!#REF!</definedName>
    <definedName name="歌利亚">数据表!#REF!</definedName>
    <definedName name="狗头人">数据表!#REF!</definedName>
    <definedName name="化兽者">数据表!#REF!</definedName>
    <definedName name="幻身灵">数据表!#REF!</definedName>
    <definedName name="吉斯人">数据表!#REF!</definedName>
    <definedName name="戟">装备!$K$23</definedName>
    <definedName name="戟伤害">装备!#REF!</definedName>
    <definedName name="精灵">数据表!#REF!</definedName>
    <definedName name="巨棒">装备!$K$6</definedName>
    <definedName name="巨棒伤害">装备!#REF!</definedName>
    <definedName name="巨锤">装备!$K$26</definedName>
    <definedName name="巨锤伤害">装备!#REF!</definedName>
    <definedName name="巨斧">装备!$K$21</definedName>
    <definedName name="巨斧伤害">装备!#REF!</definedName>
    <definedName name="巨剑">装备!$K$22</definedName>
    <definedName name="巨剑伤害">装备!#REF!</definedName>
    <definedName name="离梦人">数据表!#REF!</definedName>
    <definedName name="镰刀">装备!$K$12</definedName>
    <definedName name="镰刀伤害">装备!#REF!</definedName>
    <definedName name="链枷">装备!$K$19</definedName>
    <definedName name="链枷伤害">装备!#REF!</definedName>
    <definedName name="龙裔">数据表!#REF!</definedName>
    <definedName name="矛">装备!$K$13</definedName>
    <definedName name="矛伤害">装备!#REF!</definedName>
    <definedName name="牛头人">数据表!#REF!</definedName>
    <definedName name="骑枪">装备!$K$24</definedName>
    <definedName name="骑枪伤害">装备!#REF!</definedName>
    <definedName name="轻锤">装备!$K$9</definedName>
    <definedName name="轻锤伤害">装备!#REF!</definedName>
    <definedName name="轻弩">装备!$K$14</definedName>
    <definedName name="轻弩伤害">装备!#REF!</definedName>
    <definedName name="轻型">装备!#REF!</definedName>
    <definedName name="人类">数据表!#REF!</definedName>
    <definedName name="三叉戟">装备!$K$32</definedName>
    <definedName name="三叉戟伤害">装备!#REF!</definedName>
    <definedName name="手斧">装备!$K$7</definedName>
    <definedName name="手斧伤害">装备!#REF!</definedName>
    <definedName name="手弩">装备!$K$37</definedName>
    <definedName name="手弩伤害">装备!#REF!</definedName>
    <definedName name="兽人">数据表!#REF!</definedName>
    <definedName name="梭螺鱼人">数据表!#REF!</definedName>
    <definedName name="提夫林">数据表!#REF!</definedName>
    <definedName name="天狗">数据表!#REF!</definedName>
    <definedName name="投石索">装备!$K$17</definedName>
    <definedName name="投石索伤害">装备!#REF!</definedName>
    <definedName name="弯刀">装备!$K$30</definedName>
    <definedName name="弯刀伤害">装备!#REF!</definedName>
    <definedName name="维多肯">数据表!#REF!</definedName>
    <definedName name="析米克杂种">数据表!#REF!</definedName>
    <definedName name="蜥蜴人">数据表!#REF!</definedName>
    <definedName name="象族">数据表!#REF!</definedName>
    <definedName name="硬头锤">装备!$K$10</definedName>
    <definedName name="硬头锤伤害">装备!#REF!</definedName>
    <definedName name="元素裔">数据表!#REF!</definedName>
    <definedName name="战锤">装备!$K$34</definedName>
    <definedName name="战锤伤害">装备!#REF!</definedName>
    <definedName name="战斧">装备!$K$18</definedName>
    <definedName name="战斧伤害">装备!#REF!</definedName>
    <definedName name="战镐">装备!$K$33</definedName>
    <definedName name="战镐伤害">装备!#REF!</definedName>
    <definedName name="战俑">数据表!#REF!</definedName>
    <definedName name="长柄刀">装备!$K$20</definedName>
    <definedName name="长柄刀伤害">装备!#REF!</definedName>
    <definedName name="长弓">装备!$K$39</definedName>
    <definedName name="长弓伤害">装备!#REF!</definedName>
    <definedName name="长棍">装备!$K$11</definedName>
    <definedName name="长棍伤害">装备!#REF!</definedName>
    <definedName name="长剑">装备!$K$25</definedName>
    <definedName name="长剑伤害">装备!#REF!</definedName>
    <definedName name="长矛">装备!$K$28</definedName>
    <definedName name="长矛伤害">装备!#REF!</definedName>
    <definedName name="中型">装备!#REF!</definedName>
    <definedName name="重弩">装备!$K$38</definedName>
    <definedName name="重弩伤害">装备!#REF!</definedName>
    <definedName name="重型">装备!#REF!</definedName>
    <definedName name="侏儒">数据表!#REF!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1" i="2" l="1"/>
  <c r="T26" i="16"/>
  <c r="T27" i="16"/>
  <c r="S26" i="16"/>
  <c r="S27" i="16"/>
  <c r="X21" i="16"/>
  <c r="W21" i="16"/>
  <c r="O12" i="10"/>
  <c r="N15" i="10" s="1"/>
  <c r="BG4" i="3"/>
  <c r="AM8" i="31"/>
  <c r="AM7" i="31"/>
  <c r="AM6" i="31"/>
  <c r="AM5" i="31"/>
  <c r="AM4" i="31"/>
  <c r="AM3" i="31"/>
  <c r="AQ31" i="2" l="1"/>
  <c r="A545" i="24"/>
  <c r="B545" i="24"/>
  <c r="C545" i="24"/>
  <c r="D545" i="24"/>
  <c r="E545" i="24"/>
  <c r="F545" i="24"/>
  <c r="G545" i="24"/>
  <c r="H545" i="24"/>
  <c r="I545" i="24"/>
  <c r="J545" i="24"/>
  <c r="K545" i="24"/>
  <c r="L545" i="24"/>
  <c r="M545" i="24"/>
  <c r="A546" i="24"/>
  <c r="B546" i="24"/>
  <c r="C546" i="24"/>
  <c r="D546" i="24"/>
  <c r="E546" i="24"/>
  <c r="F546" i="24"/>
  <c r="G546" i="24"/>
  <c r="H546" i="24"/>
  <c r="I546" i="24"/>
  <c r="J546" i="24"/>
  <c r="K546" i="24"/>
  <c r="L546" i="24"/>
  <c r="M546" i="24"/>
  <c r="A547" i="24"/>
  <c r="B547" i="24"/>
  <c r="C547" i="24"/>
  <c r="D547" i="24"/>
  <c r="E547" i="24"/>
  <c r="F547" i="24"/>
  <c r="G547" i="24"/>
  <c r="H547" i="24"/>
  <c r="I547" i="24"/>
  <c r="J547" i="24"/>
  <c r="K547" i="24"/>
  <c r="L547" i="24"/>
  <c r="M547" i="24"/>
  <c r="K43" i="16" l="1"/>
  <c r="L43" i="16"/>
  <c r="M43" i="16"/>
  <c r="N43" i="16"/>
  <c r="O43" i="16"/>
  <c r="Q43" i="16"/>
  <c r="K44" i="16"/>
  <c r="L44" i="16"/>
  <c r="M44" i="16"/>
  <c r="N44" i="16"/>
  <c r="O44" i="16"/>
  <c r="Q44" i="16"/>
  <c r="Q42" i="16"/>
  <c r="O42" i="16"/>
  <c r="N42" i="16"/>
  <c r="M42" i="16"/>
  <c r="L42" i="16"/>
  <c r="K42" i="16"/>
  <c r="J44" i="16"/>
  <c r="J43" i="16"/>
  <c r="J42" i="16"/>
  <c r="BK1" i="18" l="1"/>
  <c r="BT52" i="2" s="1"/>
  <c r="BJ1" i="18"/>
  <c r="BG10" i="18"/>
  <c r="BG7" i="18"/>
  <c r="N4" i="28"/>
  <c r="M594" i="24"/>
  <c r="L594" i="24"/>
  <c r="K594" i="24"/>
  <c r="J594" i="24"/>
  <c r="I594" i="24"/>
  <c r="H594" i="24"/>
  <c r="G594" i="24"/>
  <c r="F594" i="24"/>
  <c r="E594" i="24"/>
  <c r="D594" i="24"/>
  <c r="C594" i="24"/>
  <c r="B594" i="24"/>
  <c r="A594" i="24"/>
  <c r="M593" i="24"/>
  <c r="L593" i="24"/>
  <c r="K593" i="24"/>
  <c r="J593" i="24"/>
  <c r="I593" i="24"/>
  <c r="H593" i="24"/>
  <c r="G593" i="24"/>
  <c r="F593" i="24"/>
  <c r="E593" i="24"/>
  <c r="D593" i="24"/>
  <c r="C593" i="24"/>
  <c r="B593" i="24"/>
  <c r="A593" i="24"/>
  <c r="M592" i="24"/>
  <c r="L592" i="24"/>
  <c r="K592" i="24"/>
  <c r="J592" i="24"/>
  <c r="I592" i="24"/>
  <c r="H592" i="24"/>
  <c r="G592" i="24"/>
  <c r="F592" i="24"/>
  <c r="E592" i="24"/>
  <c r="D592" i="24"/>
  <c r="C592" i="24"/>
  <c r="B592" i="24"/>
  <c r="A592" i="24"/>
  <c r="M591" i="24"/>
  <c r="L591" i="24"/>
  <c r="K591" i="24"/>
  <c r="J591" i="24"/>
  <c r="I591" i="24"/>
  <c r="H591" i="24"/>
  <c r="G591" i="24"/>
  <c r="F591" i="24"/>
  <c r="E591" i="24"/>
  <c r="D591" i="24"/>
  <c r="C591" i="24"/>
  <c r="B591" i="24"/>
  <c r="A591" i="24"/>
  <c r="M590" i="24"/>
  <c r="L590" i="24"/>
  <c r="K590" i="24"/>
  <c r="J590" i="24"/>
  <c r="I590" i="24"/>
  <c r="H590" i="24"/>
  <c r="G590" i="24"/>
  <c r="F590" i="24"/>
  <c r="E590" i="24"/>
  <c r="D590" i="24"/>
  <c r="C590" i="24"/>
  <c r="B590" i="24"/>
  <c r="A590" i="24"/>
  <c r="M589" i="24"/>
  <c r="L589" i="24"/>
  <c r="K589" i="24"/>
  <c r="J589" i="24"/>
  <c r="I589" i="24"/>
  <c r="H589" i="24"/>
  <c r="G589" i="24"/>
  <c r="F589" i="24"/>
  <c r="E589" i="24"/>
  <c r="D589" i="24"/>
  <c r="C589" i="24"/>
  <c r="B589" i="24"/>
  <c r="A589" i="24"/>
  <c r="M588" i="24"/>
  <c r="L588" i="24"/>
  <c r="K588" i="24"/>
  <c r="J588" i="24"/>
  <c r="I588" i="24"/>
  <c r="H588" i="24"/>
  <c r="G588" i="24"/>
  <c r="F588" i="24"/>
  <c r="E588" i="24"/>
  <c r="D588" i="24"/>
  <c r="C588" i="24"/>
  <c r="B588" i="24"/>
  <c r="A588" i="24"/>
  <c r="M587" i="24"/>
  <c r="L587" i="24"/>
  <c r="K587" i="24"/>
  <c r="J587" i="24"/>
  <c r="I587" i="24"/>
  <c r="H587" i="24"/>
  <c r="G587" i="24"/>
  <c r="F587" i="24"/>
  <c r="E587" i="24"/>
  <c r="D587" i="24"/>
  <c r="C587" i="24"/>
  <c r="B587" i="24"/>
  <c r="A587" i="24"/>
  <c r="M586" i="24"/>
  <c r="L586" i="24"/>
  <c r="K586" i="24"/>
  <c r="J586" i="24"/>
  <c r="I586" i="24"/>
  <c r="H586" i="24"/>
  <c r="G586" i="24"/>
  <c r="F586" i="24"/>
  <c r="E586" i="24"/>
  <c r="D586" i="24"/>
  <c r="C586" i="24"/>
  <c r="B586" i="24"/>
  <c r="A586" i="24"/>
  <c r="M585" i="24"/>
  <c r="L585" i="24"/>
  <c r="K585" i="24"/>
  <c r="J585" i="24"/>
  <c r="I585" i="24"/>
  <c r="H585" i="24"/>
  <c r="G585" i="24"/>
  <c r="F585" i="24"/>
  <c r="E585" i="24"/>
  <c r="D585" i="24"/>
  <c r="C585" i="24"/>
  <c r="B585" i="24"/>
  <c r="A585" i="24"/>
  <c r="M584" i="24"/>
  <c r="L584" i="24"/>
  <c r="K584" i="24"/>
  <c r="J584" i="24"/>
  <c r="I584" i="24"/>
  <c r="H584" i="24"/>
  <c r="G584" i="24"/>
  <c r="F584" i="24"/>
  <c r="E584" i="24"/>
  <c r="D584" i="24"/>
  <c r="C584" i="24"/>
  <c r="B584" i="24"/>
  <c r="A584" i="24"/>
  <c r="M583" i="24"/>
  <c r="L583" i="24"/>
  <c r="K583" i="24"/>
  <c r="J583" i="24"/>
  <c r="I583" i="24"/>
  <c r="H583" i="24"/>
  <c r="G583" i="24"/>
  <c r="F583" i="24"/>
  <c r="E583" i="24"/>
  <c r="D583" i="24"/>
  <c r="C583" i="24"/>
  <c r="B583" i="24"/>
  <c r="A583" i="24"/>
  <c r="M582" i="24"/>
  <c r="L582" i="24"/>
  <c r="K582" i="24"/>
  <c r="J582" i="24"/>
  <c r="I582" i="24"/>
  <c r="H582" i="24"/>
  <c r="G582" i="24"/>
  <c r="F582" i="24"/>
  <c r="E582" i="24"/>
  <c r="D582" i="24"/>
  <c r="C582" i="24"/>
  <c r="B582" i="24"/>
  <c r="A582" i="24"/>
  <c r="M581" i="24"/>
  <c r="L581" i="24"/>
  <c r="K581" i="24"/>
  <c r="J581" i="24"/>
  <c r="I581" i="24"/>
  <c r="H581" i="24"/>
  <c r="G581" i="24"/>
  <c r="F581" i="24"/>
  <c r="E581" i="24"/>
  <c r="D581" i="24"/>
  <c r="C581" i="24"/>
  <c r="B581" i="24"/>
  <c r="A581" i="24"/>
  <c r="M580" i="24"/>
  <c r="L580" i="24"/>
  <c r="K580" i="24"/>
  <c r="J580" i="24"/>
  <c r="I580" i="24"/>
  <c r="H580" i="24"/>
  <c r="G580" i="24"/>
  <c r="F580" i="24"/>
  <c r="E580" i="24"/>
  <c r="D580" i="24"/>
  <c r="C580" i="24"/>
  <c r="B580" i="24"/>
  <c r="A580" i="24"/>
  <c r="M579" i="24"/>
  <c r="L579" i="24"/>
  <c r="K579" i="24"/>
  <c r="J579" i="24"/>
  <c r="I579" i="24"/>
  <c r="H579" i="24"/>
  <c r="G579" i="24"/>
  <c r="F579" i="24"/>
  <c r="E579" i="24"/>
  <c r="D579" i="24"/>
  <c r="C579" i="24"/>
  <c r="B579" i="24"/>
  <c r="A579" i="24"/>
  <c r="M578" i="24"/>
  <c r="L578" i="24"/>
  <c r="K578" i="24"/>
  <c r="J578" i="24"/>
  <c r="I578" i="24"/>
  <c r="H578" i="24"/>
  <c r="G578" i="24"/>
  <c r="F578" i="24"/>
  <c r="E578" i="24"/>
  <c r="D578" i="24"/>
  <c r="C578" i="24"/>
  <c r="B578" i="24"/>
  <c r="A578" i="24"/>
  <c r="M577" i="24"/>
  <c r="L577" i="24"/>
  <c r="K577" i="24"/>
  <c r="J577" i="24"/>
  <c r="I577" i="24"/>
  <c r="H577" i="24"/>
  <c r="G577" i="24"/>
  <c r="F577" i="24"/>
  <c r="E577" i="24"/>
  <c r="D577" i="24"/>
  <c r="C577" i="24"/>
  <c r="B577" i="24"/>
  <c r="A577" i="24"/>
  <c r="M576" i="24"/>
  <c r="L576" i="24"/>
  <c r="K576" i="24"/>
  <c r="J576" i="24"/>
  <c r="I576" i="24"/>
  <c r="H576" i="24"/>
  <c r="G576" i="24"/>
  <c r="F576" i="24"/>
  <c r="E576" i="24"/>
  <c r="D576" i="24"/>
  <c r="C576" i="24"/>
  <c r="B576" i="24"/>
  <c r="A576" i="24"/>
  <c r="M575" i="24"/>
  <c r="L575" i="24"/>
  <c r="K575" i="24"/>
  <c r="J575" i="24"/>
  <c r="I575" i="24"/>
  <c r="H575" i="24"/>
  <c r="G575" i="24"/>
  <c r="F575" i="24"/>
  <c r="E575" i="24"/>
  <c r="D575" i="24"/>
  <c r="C575" i="24"/>
  <c r="B575" i="24"/>
  <c r="A575" i="24"/>
  <c r="M574" i="24"/>
  <c r="L574" i="24"/>
  <c r="K574" i="24"/>
  <c r="J574" i="24"/>
  <c r="I574" i="24"/>
  <c r="H574" i="24"/>
  <c r="G574" i="24"/>
  <c r="F574" i="24"/>
  <c r="E574" i="24"/>
  <c r="D574" i="24"/>
  <c r="C574" i="24"/>
  <c r="B574" i="24"/>
  <c r="A574" i="24"/>
  <c r="M573" i="24"/>
  <c r="L573" i="24"/>
  <c r="K573" i="24"/>
  <c r="J573" i="24"/>
  <c r="I573" i="24"/>
  <c r="H573" i="24"/>
  <c r="G573" i="24"/>
  <c r="F573" i="24"/>
  <c r="E573" i="24"/>
  <c r="D573" i="24"/>
  <c r="C573" i="24"/>
  <c r="B573" i="24"/>
  <c r="A573" i="24"/>
  <c r="M572" i="24"/>
  <c r="L572" i="24"/>
  <c r="K572" i="24"/>
  <c r="J572" i="24"/>
  <c r="I572" i="24"/>
  <c r="H572" i="24"/>
  <c r="G572" i="24"/>
  <c r="F572" i="24"/>
  <c r="E572" i="24"/>
  <c r="D572" i="24"/>
  <c r="C572" i="24"/>
  <c r="B572" i="24"/>
  <c r="A572" i="24"/>
  <c r="M571" i="24"/>
  <c r="L571" i="24"/>
  <c r="K571" i="24"/>
  <c r="J571" i="24"/>
  <c r="I571" i="24"/>
  <c r="H571" i="24"/>
  <c r="G571" i="24"/>
  <c r="F571" i="24"/>
  <c r="E571" i="24"/>
  <c r="D571" i="24"/>
  <c r="C571" i="24"/>
  <c r="B571" i="24"/>
  <c r="A571" i="24"/>
  <c r="M570" i="24"/>
  <c r="L570" i="24"/>
  <c r="K570" i="24"/>
  <c r="J570" i="24"/>
  <c r="I570" i="24"/>
  <c r="H570" i="24"/>
  <c r="G570" i="24"/>
  <c r="F570" i="24"/>
  <c r="E570" i="24"/>
  <c r="D570" i="24"/>
  <c r="C570" i="24"/>
  <c r="B570" i="24"/>
  <c r="A570" i="24"/>
  <c r="M569" i="24"/>
  <c r="L569" i="24"/>
  <c r="K569" i="24"/>
  <c r="J569" i="24"/>
  <c r="I569" i="24"/>
  <c r="H569" i="24"/>
  <c r="G569" i="24"/>
  <c r="F569" i="24"/>
  <c r="E569" i="24"/>
  <c r="D569" i="24"/>
  <c r="C569" i="24"/>
  <c r="B569" i="24"/>
  <c r="A569" i="24"/>
  <c r="M568" i="24"/>
  <c r="L568" i="24"/>
  <c r="K568" i="24"/>
  <c r="J568" i="24"/>
  <c r="I568" i="24"/>
  <c r="H568" i="24"/>
  <c r="G568" i="24"/>
  <c r="F568" i="24"/>
  <c r="E568" i="24"/>
  <c r="D568" i="24"/>
  <c r="C568" i="24"/>
  <c r="B568" i="24"/>
  <c r="A568" i="24"/>
  <c r="M567" i="24"/>
  <c r="L567" i="24"/>
  <c r="K567" i="24"/>
  <c r="J567" i="24"/>
  <c r="I567" i="24"/>
  <c r="H567" i="24"/>
  <c r="G567" i="24"/>
  <c r="F567" i="24"/>
  <c r="E567" i="24"/>
  <c r="D567" i="24"/>
  <c r="C567" i="24"/>
  <c r="B567" i="24"/>
  <c r="A567" i="24"/>
  <c r="M566" i="24"/>
  <c r="L566" i="24"/>
  <c r="K566" i="24"/>
  <c r="J566" i="24"/>
  <c r="I566" i="24"/>
  <c r="H566" i="24"/>
  <c r="G566" i="24"/>
  <c r="F566" i="24"/>
  <c r="E566" i="24"/>
  <c r="D566" i="24"/>
  <c r="C566" i="24"/>
  <c r="B566" i="24"/>
  <c r="A566" i="24"/>
  <c r="M565" i="24"/>
  <c r="L565" i="24"/>
  <c r="K565" i="24"/>
  <c r="J565" i="24"/>
  <c r="I565" i="24"/>
  <c r="H565" i="24"/>
  <c r="G565" i="24"/>
  <c r="F565" i="24"/>
  <c r="E565" i="24"/>
  <c r="D565" i="24"/>
  <c r="C565" i="24"/>
  <c r="B565" i="24"/>
  <c r="A565" i="24"/>
  <c r="M564" i="24"/>
  <c r="L564" i="24"/>
  <c r="K564" i="24"/>
  <c r="J564" i="24"/>
  <c r="I564" i="24"/>
  <c r="H564" i="24"/>
  <c r="G564" i="24"/>
  <c r="F564" i="24"/>
  <c r="E564" i="24"/>
  <c r="D564" i="24"/>
  <c r="C564" i="24"/>
  <c r="B564" i="24"/>
  <c r="A564" i="24"/>
  <c r="M563" i="24"/>
  <c r="L563" i="24"/>
  <c r="K563" i="24"/>
  <c r="J563" i="24"/>
  <c r="I563" i="24"/>
  <c r="H563" i="24"/>
  <c r="G563" i="24"/>
  <c r="F563" i="24"/>
  <c r="E563" i="24"/>
  <c r="D563" i="24"/>
  <c r="C563" i="24"/>
  <c r="B563" i="24"/>
  <c r="A563" i="24"/>
  <c r="M562" i="24"/>
  <c r="L562" i="24"/>
  <c r="K562" i="24"/>
  <c r="J562" i="24"/>
  <c r="I562" i="24"/>
  <c r="H562" i="24"/>
  <c r="G562" i="24"/>
  <c r="F562" i="24"/>
  <c r="E562" i="24"/>
  <c r="D562" i="24"/>
  <c r="C562" i="24"/>
  <c r="B562" i="24"/>
  <c r="A562" i="24"/>
  <c r="M561" i="24"/>
  <c r="L561" i="24"/>
  <c r="K561" i="24"/>
  <c r="J561" i="24"/>
  <c r="I561" i="24"/>
  <c r="H561" i="24"/>
  <c r="G561" i="24"/>
  <c r="F561" i="24"/>
  <c r="E561" i="24"/>
  <c r="D561" i="24"/>
  <c r="C561" i="24"/>
  <c r="B561" i="24"/>
  <c r="A561" i="24"/>
  <c r="M560" i="24"/>
  <c r="L560" i="24"/>
  <c r="K560" i="24"/>
  <c r="J560" i="24"/>
  <c r="I560" i="24"/>
  <c r="H560" i="24"/>
  <c r="G560" i="24"/>
  <c r="F560" i="24"/>
  <c r="E560" i="24"/>
  <c r="D560" i="24"/>
  <c r="C560" i="24"/>
  <c r="B560" i="24"/>
  <c r="A560" i="24"/>
  <c r="M559" i="24"/>
  <c r="L559" i="24"/>
  <c r="K559" i="24"/>
  <c r="J559" i="24"/>
  <c r="I559" i="24"/>
  <c r="H559" i="24"/>
  <c r="G559" i="24"/>
  <c r="F559" i="24"/>
  <c r="E559" i="24"/>
  <c r="D559" i="24"/>
  <c r="C559" i="24"/>
  <c r="B559" i="24"/>
  <c r="A559" i="24"/>
  <c r="M558" i="24"/>
  <c r="L558" i="24"/>
  <c r="K558" i="24"/>
  <c r="J558" i="24"/>
  <c r="I558" i="24"/>
  <c r="H558" i="24"/>
  <c r="G558" i="24"/>
  <c r="F558" i="24"/>
  <c r="E558" i="24"/>
  <c r="D558" i="24"/>
  <c r="C558" i="24"/>
  <c r="B558" i="24"/>
  <c r="A558" i="24"/>
  <c r="M557" i="24"/>
  <c r="L557" i="24"/>
  <c r="K557" i="24"/>
  <c r="J557" i="24"/>
  <c r="I557" i="24"/>
  <c r="H557" i="24"/>
  <c r="G557" i="24"/>
  <c r="F557" i="24"/>
  <c r="E557" i="24"/>
  <c r="D557" i="24"/>
  <c r="C557" i="24"/>
  <c r="B557" i="24"/>
  <c r="A557" i="24"/>
  <c r="M556" i="24"/>
  <c r="L556" i="24"/>
  <c r="K556" i="24"/>
  <c r="J556" i="24"/>
  <c r="I556" i="24"/>
  <c r="H556" i="24"/>
  <c r="G556" i="24"/>
  <c r="F556" i="24"/>
  <c r="E556" i="24"/>
  <c r="D556" i="24"/>
  <c r="C556" i="24"/>
  <c r="B556" i="24"/>
  <c r="A556" i="24"/>
  <c r="AF25" i="8" s="1"/>
  <c r="M555" i="24"/>
  <c r="L555" i="24"/>
  <c r="K555" i="24"/>
  <c r="J555" i="24"/>
  <c r="I555" i="24"/>
  <c r="H555" i="24"/>
  <c r="G555" i="24"/>
  <c r="F555" i="24"/>
  <c r="E555" i="24"/>
  <c r="D555" i="24"/>
  <c r="C555" i="24"/>
  <c r="B555" i="24"/>
  <c r="A555" i="24"/>
  <c r="M554" i="24"/>
  <c r="L554" i="24"/>
  <c r="K554" i="24"/>
  <c r="J554" i="24"/>
  <c r="I554" i="24"/>
  <c r="H554" i="24"/>
  <c r="G554" i="24"/>
  <c r="F554" i="24"/>
  <c r="E554" i="24"/>
  <c r="D554" i="24"/>
  <c r="C554" i="24"/>
  <c r="B554" i="24"/>
  <c r="A554" i="24"/>
  <c r="M553" i="24"/>
  <c r="L553" i="24"/>
  <c r="K553" i="24"/>
  <c r="J553" i="24"/>
  <c r="I553" i="24"/>
  <c r="H553" i="24"/>
  <c r="G553" i="24"/>
  <c r="F553" i="24"/>
  <c r="E553" i="24"/>
  <c r="D553" i="24"/>
  <c r="C553" i="24"/>
  <c r="B553" i="24"/>
  <c r="A553" i="24"/>
  <c r="M552" i="24"/>
  <c r="L552" i="24"/>
  <c r="K552" i="24"/>
  <c r="J552" i="24"/>
  <c r="I552" i="24"/>
  <c r="H552" i="24"/>
  <c r="G552" i="24"/>
  <c r="F552" i="24"/>
  <c r="E552" i="24"/>
  <c r="D552" i="24"/>
  <c r="C552" i="24"/>
  <c r="B552" i="24"/>
  <c r="A552" i="24"/>
  <c r="M551" i="24"/>
  <c r="L551" i="24"/>
  <c r="K551" i="24"/>
  <c r="J551" i="24"/>
  <c r="I551" i="24"/>
  <c r="H551" i="24"/>
  <c r="G551" i="24"/>
  <c r="F551" i="24"/>
  <c r="E551" i="24"/>
  <c r="D551" i="24"/>
  <c r="C551" i="24"/>
  <c r="B551" i="24"/>
  <c r="A551" i="24"/>
  <c r="M550" i="24"/>
  <c r="L550" i="24"/>
  <c r="K550" i="24"/>
  <c r="J550" i="24"/>
  <c r="I550" i="24"/>
  <c r="H550" i="24"/>
  <c r="G550" i="24"/>
  <c r="F550" i="24"/>
  <c r="E550" i="24"/>
  <c r="D550" i="24"/>
  <c r="C550" i="24"/>
  <c r="B550" i="24"/>
  <c r="A550" i="24"/>
  <c r="M549" i="24"/>
  <c r="L549" i="24"/>
  <c r="K549" i="24"/>
  <c r="J549" i="24"/>
  <c r="I549" i="24"/>
  <c r="H549" i="24"/>
  <c r="G549" i="24"/>
  <c r="F549" i="24"/>
  <c r="E549" i="24"/>
  <c r="D549" i="24"/>
  <c r="C549" i="24"/>
  <c r="B549" i="24"/>
  <c r="A549" i="24"/>
  <c r="M548" i="24"/>
  <c r="L548" i="24"/>
  <c r="K548" i="24"/>
  <c r="J548" i="24"/>
  <c r="I548" i="24"/>
  <c r="H548" i="24"/>
  <c r="G548" i="24"/>
  <c r="F548" i="24"/>
  <c r="E548" i="24"/>
  <c r="D548" i="24"/>
  <c r="C548" i="24"/>
  <c r="B548" i="24"/>
  <c r="A548" i="24"/>
  <c r="AF63" i="2"/>
  <c r="BS15" i="30"/>
  <c r="Y15" i="30"/>
  <c r="CB7" i="30"/>
  <c r="BS7" i="30"/>
  <c r="AV7" i="30"/>
  <c r="AH7" i="30"/>
  <c r="Y7" i="30"/>
  <c r="B7" i="30"/>
  <c r="BC12" i="31"/>
  <c r="BA12" i="31"/>
  <c r="BC11" i="31"/>
  <c r="BA11" i="31"/>
  <c r="BC10" i="31"/>
  <c r="BA10" i="31"/>
  <c r="BC9" i="31"/>
  <c r="BA9" i="31"/>
  <c r="BC8" i="31"/>
  <c r="BA8" i="31"/>
  <c r="AK8" i="31"/>
  <c r="BC7" i="31"/>
  <c r="BA7" i="31"/>
  <c r="AK7" i="31"/>
  <c r="AK6" i="31"/>
  <c r="AK5" i="31"/>
  <c r="AK4" i="31"/>
  <c r="CH3" i="31"/>
  <c r="AK3" i="31"/>
  <c r="H2" i="26"/>
  <c r="N2" i="26" s="1"/>
  <c r="S5" i="17" s="1"/>
  <c r="G2" i="26"/>
  <c r="F2" i="26"/>
  <c r="E2" i="26"/>
  <c r="D2" i="26"/>
  <c r="C2" i="26"/>
  <c r="B2" i="26"/>
  <c r="AB51" i="27" a="1"/>
  <c r="AB51" i="27" s="1"/>
  <c r="Z51" i="27"/>
  <c r="Y51" i="27"/>
  <c r="X51" i="27"/>
  <c r="W51" i="27"/>
  <c r="V51" i="27"/>
  <c r="U51" i="27"/>
  <c r="T51" i="27"/>
  <c r="S51" i="27"/>
  <c r="R51" i="27"/>
  <c r="Q51" i="27"/>
  <c r="P51" i="27"/>
  <c r="O51" i="27"/>
  <c r="N51" i="27"/>
  <c r="M51" i="27"/>
  <c r="L51" i="27"/>
  <c r="K51" i="27"/>
  <c r="AB50" i="27" a="1"/>
  <c r="AB50" i="27" s="1"/>
  <c r="Z50" i="27"/>
  <c r="Y50" i="27"/>
  <c r="X50" i="27"/>
  <c r="W50" i="27"/>
  <c r="V50" i="27"/>
  <c r="U50" i="27"/>
  <c r="T50" i="27"/>
  <c r="S50" i="27"/>
  <c r="R50" i="27"/>
  <c r="Q50" i="27"/>
  <c r="P50" i="27"/>
  <c r="O50" i="27"/>
  <c r="N50" i="27"/>
  <c r="M50" i="27"/>
  <c r="L50" i="27"/>
  <c r="K50" i="27"/>
  <c r="AB49" i="27" a="1"/>
  <c r="AB49" i="27" s="1"/>
  <c r="Z49" i="27"/>
  <c r="Y49" i="27"/>
  <c r="X49" i="27"/>
  <c r="W49" i="27"/>
  <c r="V49" i="27"/>
  <c r="U49" i="27"/>
  <c r="T49" i="27"/>
  <c r="S49" i="27"/>
  <c r="R49" i="27"/>
  <c r="Q49" i="27"/>
  <c r="P49" i="27"/>
  <c r="O49" i="27"/>
  <c r="N49" i="27"/>
  <c r="M49" i="27"/>
  <c r="L49" i="27"/>
  <c r="K49" i="27"/>
  <c r="AB48" i="27" a="1"/>
  <c r="AB48" i="27" s="1"/>
  <c r="Z48" i="27"/>
  <c r="Y48" i="27"/>
  <c r="X48" i="27"/>
  <c r="W48" i="27"/>
  <c r="V48" i="27"/>
  <c r="U48" i="27"/>
  <c r="T48" i="27"/>
  <c r="S48" i="27"/>
  <c r="R48" i="27"/>
  <c r="Q48" i="27"/>
  <c r="P48" i="27"/>
  <c r="O48" i="27"/>
  <c r="N48" i="27"/>
  <c r="M48" i="27"/>
  <c r="L48" i="27"/>
  <c r="K48" i="27"/>
  <c r="AB47" i="27" a="1"/>
  <c r="AB47" i="27" s="1"/>
  <c r="Z47" i="27"/>
  <c r="Y47" i="27"/>
  <c r="X47" i="27"/>
  <c r="W47" i="27"/>
  <c r="V47" i="27"/>
  <c r="U47" i="27"/>
  <c r="T47" i="27"/>
  <c r="AB46" i="27" a="1"/>
  <c r="AB46" i="27" s="1"/>
  <c r="Z46" i="27"/>
  <c r="Y46" i="27"/>
  <c r="X46" i="27"/>
  <c r="W46" i="27"/>
  <c r="V46" i="27"/>
  <c r="U46" i="27"/>
  <c r="T46" i="27"/>
  <c r="AB45" i="27" a="1"/>
  <c r="AB45" i="27" s="1"/>
  <c r="Z45" i="27"/>
  <c r="Y45" i="27"/>
  <c r="X45" i="27"/>
  <c r="W45" i="27"/>
  <c r="V45" i="27"/>
  <c r="U45" i="27"/>
  <c r="T45" i="27"/>
  <c r="AB44" i="27" a="1"/>
  <c r="AB44" i="27" s="1"/>
  <c r="Z44" i="27"/>
  <c r="Y44" i="27"/>
  <c r="X44" i="27"/>
  <c r="W44" i="27"/>
  <c r="V44" i="27"/>
  <c r="U44" i="27"/>
  <c r="T44" i="27"/>
  <c r="AB43" i="27" a="1"/>
  <c r="AB43" i="27" s="1"/>
  <c r="Z43" i="27"/>
  <c r="Y43" i="27"/>
  <c r="X43" i="27"/>
  <c r="W43" i="27"/>
  <c r="V43" i="27"/>
  <c r="U43" i="27"/>
  <c r="T43" i="27"/>
  <c r="AB42" i="27" a="1"/>
  <c r="AB42" i="27" s="1"/>
  <c r="Z42" i="27"/>
  <c r="Y42" i="27"/>
  <c r="X42" i="27"/>
  <c r="W42" i="27"/>
  <c r="V42" i="27"/>
  <c r="U42" i="27"/>
  <c r="T42" i="27"/>
  <c r="AB41" i="27" a="1"/>
  <c r="AB41" i="27" s="1"/>
  <c r="Z41" i="27"/>
  <c r="Y41" i="27"/>
  <c r="X41" i="27"/>
  <c r="W41" i="27"/>
  <c r="V41" i="27"/>
  <c r="U41" i="27"/>
  <c r="T41" i="27"/>
  <c r="AB40" i="27" a="1"/>
  <c r="AB40" i="27" s="1"/>
  <c r="Z40" i="27"/>
  <c r="Y40" i="27"/>
  <c r="X40" i="27"/>
  <c r="W40" i="27"/>
  <c r="V40" i="27"/>
  <c r="U40" i="27"/>
  <c r="T40" i="27"/>
  <c r="AB39" i="27" a="1"/>
  <c r="AB39" i="27" s="1"/>
  <c r="Z39" i="27"/>
  <c r="Y39" i="27"/>
  <c r="X39" i="27"/>
  <c r="W39" i="27"/>
  <c r="V39" i="27"/>
  <c r="U39" i="27"/>
  <c r="T39" i="27"/>
  <c r="AB38" i="27" a="1"/>
  <c r="AB38" i="27" s="1"/>
  <c r="Z38" i="27"/>
  <c r="Y38" i="27"/>
  <c r="X38" i="27"/>
  <c r="W38" i="27"/>
  <c r="V38" i="27"/>
  <c r="U38" i="27"/>
  <c r="T38" i="27"/>
  <c r="AB37" i="27" a="1"/>
  <c r="AB37" i="27" s="1"/>
  <c r="Z37" i="27"/>
  <c r="Y37" i="27"/>
  <c r="X37" i="27"/>
  <c r="W37" i="27"/>
  <c r="V37" i="27"/>
  <c r="U37" i="27"/>
  <c r="T37" i="27"/>
  <c r="AB36" i="27" a="1"/>
  <c r="AB36" i="27" s="1"/>
  <c r="Z36" i="27"/>
  <c r="Y36" i="27"/>
  <c r="X36" i="27"/>
  <c r="W36" i="27"/>
  <c r="V36" i="27"/>
  <c r="U36" i="27"/>
  <c r="T36" i="27"/>
  <c r="AB35" i="27" a="1"/>
  <c r="AB35" i="27" s="1"/>
  <c r="Z35" i="27"/>
  <c r="Y35" i="27"/>
  <c r="X35" i="27"/>
  <c r="W35" i="27"/>
  <c r="V35" i="27"/>
  <c r="U35" i="27"/>
  <c r="T35" i="27"/>
  <c r="AB34" i="27" a="1"/>
  <c r="AB34" i="27" s="1"/>
  <c r="Z34" i="27"/>
  <c r="Y34" i="27"/>
  <c r="X34" i="27"/>
  <c r="W34" i="27"/>
  <c r="V34" i="27"/>
  <c r="U34" i="27"/>
  <c r="T34" i="27"/>
  <c r="AB33" i="27" a="1"/>
  <c r="AB33" i="27" s="1"/>
  <c r="Z33" i="27"/>
  <c r="Y33" i="27"/>
  <c r="X33" i="27"/>
  <c r="W33" i="27"/>
  <c r="V33" i="27"/>
  <c r="U33" i="27"/>
  <c r="T33" i="27"/>
  <c r="AB32" i="27" a="1"/>
  <c r="AB32" i="27" s="1"/>
  <c r="Z32" i="27"/>
  <c r="Y32" i="27"/>
  <c r="X32" i="27"/>
  <c r="W32" i="27"/>
  <c r="V32" i="27"/>
  <c r="U32" i="27"/>
  <c r="T32" i="27"/>
  <c r="AB31" i="27" a="1"/>
  <c r="AB31" i="27" s="1"/>
  <c r="Z31" i="27"/>
  <c r="Y31" i="27"/>
  <c r="X31" i="27"/>
  <c r="W31" i="27"/>
  <c r="V31" i="27"/>
  <c r="U31" i="27"/>
  <c r="T31" i="27"/>
  <c r="AB30" i="27" a="1"/>
  <c r="AB30" i="27" s="1"/>
  <c r="Z30" i="27"/>
  <c r="Y30" i="27"/>
  <c r="X30" i="27"/>
  <c r="W30" i="27"/>
  <c r="V30" i="27"/>
  <c r="U30" i="27"/>
  <c r="T30" i="27"/>
  <c r="AB29" i="27" a="1"/>
  <c r="AB29" i="27" s="1"/>
  <c r="Z29" i="27"/>
  <c r="Y29" i="27"/>
  <c r="X29" i="27"/>
  <c r="W29" i="27"/>
  <c r="V29" i="27"/>
  <c r="U29" i="27"/>
  <c r="T29" i="27"/>
  <c r="AB28" i="27" a="1"/>
  <c r="AB28" i="27" s="1"/>
  <c r="Z28" i="27"/>
  <c r="Y28" i="27"/>
  <c r="X28" i="27"/>
  <c r="W28" i="27"/>
  <c r="V28" i="27"/>
  <c r="U28" i="27"/>
  <c r="T28" i="27"/>
  <c r="AB27" i="27" a="1"/>
  <c r="AB27" i="27" s="1"/>
  <c r="Z27" i="27"/>
  <c r="Y27" i="27"/>
  <c r="X27" i="27"/>
  <c r="W27" i="27"/>
  <c r="V27" i="27"/>
  <c r="U27" i="27"/>
  <c r="T27" i="27"/>
  <c r="AB26" i="27" a="1"/>
  <c r="AB26" i="27" s="1"/>
  <c r="Z26" i="27"/>
  <c r="Y26" i="27"/>
  <c r="X26" i="27"/>
  <c r="W26" i="27"/>
  <c r="V26" i="27"/>
  <c r="U26" i="27"/>
  <c r="T26" i="27"/>
  <c r="AB25" i="27" a="1"/>
  <c r="AB25" i="27" s="1"/>
  <c r="Z25" i="27"/>
  <c r="Y25" i="27"/>
  <c r="X25" i="27"/>
  <c r="W25" i="27"/>
  <c r="V25" i="27"/>
  <c r="U25" i="27"/>
  <c r="T25" i="27"/>
  <c r="AB24" i="27" a="1"/>
  <c r="AB24" i="27" s="1"/>
  <c r="Z24" i="27"/>
  <c r="Y24" i="27"/>
  <c r="X24" i="27"/>
  <c r="W24" i="27"/>
  <c r="V24" i="27"/>
  <c r="U24" i="27"/>
  <c r="T24" i="27"/>
  <c r="AB23" i="27" a="1"/>
  <c r="AB23" i="27" s="1"/>
  <c r="Z23" i="27"/>
  <c r="Y23" i="27"/>
  <c r="X23" i="27"/>
  <c r="W23" i="27"/>
  <c r="V23" i="27"/>
  <c r="U23" i="27"/>
  <c r="T23" i="27"/>
  <c r="AB22" i="27" a="1"/>
  <c r="AB22" i="27" s="1"/>
  <c r="Z22" i="27"/>
  <c r="Y22" i="27"/>
  <c r="X22" i="27"/>
  <c r="W22" i="27"/>
  <c r="V22" i="27"/>
  <c r="U22" i="27"/>
  <c r="T22" i="27"/>
  <c r="AB21" i="27" a="1"/>
  <c r="AB21" i="27" s="1"/>
  <c r="Z21" i="27"/>
  <c r="Y21" i="27"/>
  <c r="X21" i="27"/>
  <c r="W21" i="27"/>
  <c r="V21" i="27"/>
  <c r="U21" i="27"/>
  <c r="T21" i="27"/>
  <c r="AB20" i="27" a="1"/>
  <c r="AB20" i="27" s="1"/>
  <c r="Z20" i="27"/>
  <c r="Y20" i="27"/>
  <c r="X20" i="27"/>
  <c r="W20" i="27"/>
  <c r="V20" i="27"/>
  <c r="U20" i="27"/>
  <c r="T20" i="27"/>
  <c r="AB19" i="27" a="1"/>
  <c r="AB19" i="27" s="1"/>
  <c r="Z19" i="27"/>
  <c r="Y19" i="27"/>
  <c r="X19" i="27"/>
  <c r="W19" i="27"/>
  <c r="V19" i="27"/>
  <c r="U19" i="27"/>
  <c r="T19" i="27"/>
  <c r="AB18" i="27" a="1"/>
  <c r="AB18" i="27" s="1"/>
  <c r="Z18" i="27"/>
  <c r="Y18" i="27"/>
  <c r="X18" i="27"/>
  <c r="W18" i="27"/>
  <c r="V18" i="27"/>
  <c r="U18" i="27"/>
  <c r="T18" i="27"/>
  <c r="AB17" i="27" a="1"/>
  <c r="AB17" i="27" s="1"/>
  <c r="Z17" i="27"/>
  <c r="Y17" i="27"/>
  <c r="X17" i="27"/>
  <c r="W17" i="27"/>
  <c r="V17" i="27"/>
  <c r="U17" i="27"/>
  <c r="T17" i="27"/>
  <c r="AB16" i="27" a="1"/>
  <c r="AB16" i="27" s="1"/>
  <c r="Z16" i="27"/>
  <c r="Y16" i="27"/>
  <c r="X16" i="27"/>
  <c r="W16" i="27"/>
  <c r="V16" i="27"/>
  <c r="U16" i="27"/>
  <c r="T16" i="27"/>
  <c r="AM15" i="27"/>
  <c r="AB15" i="27" a="1"/>
  <c r="AB15" i="27" s="1"/>
  <c r="Z15" i="27"/>
  <c r="Y15" i="27"/>
  <c r="X15" i="27"/>
  <c r="W15" i="27"/>
  <c r="V15" i="27"/>
  <c r="U15" i="27"/>
  <c r="T15" i="27"/>
  <c r="AK14" i="27"/>
  <c r="AM14" i="27" s="1"/>
  <c r="AB14" i="27" a="1"/>
  <c r="AB14" i="27" s="1"/>
  <c r="Z14" i="27"/>
  <c r="Y14" i="27"/>
  <c r="X14" i="27"/>
  <c r="W14" i="27"/>
  <c r="V14" i="27"/>
  <c r="U14" i="27"/>
  <c r="T14" i="27"/>
  <c r="AK13" i="27"/>
  <c r="AM13" i="27" s="1"/>
  <c r="AB13" i="27" a="1"/>
  <c r="AB13" i="27" s="1"/>
  <c r="Z13" i="27"/>
  <c r="Y13" i="27"/>
  <c r="X13" i="27"/>
  <c r="W13" i="27"/>
  <c r="V13" i="27"/>
  <c r="U13" i="27"/>
  <c r="T13" i="27"/>
  <c r="AK12" i="27"/>
  <c r="AM12" i="27" s="1"/>
  <c r="AB12" i="27" a="1"/>
  <c r="AB12" i="27" s="1"/>
  <c r="Z12" i="27"/>
  <c r="Y12" i="27"/>
  <c r="X12" i="27"/>
  <c r="W12" i="27"/>
  <c r="V12" i="27"/>
  <c r="U12" i="27"/>
  <c r="T12" i="27"/>
  <c r="AK11" i="27"/>
  <c r="AM11" i="27" s="1"/>
  <c r="AB11" i="27" a="1"/>
  <c r="AB11" i="27" s="1"/>
  <c r="Z11" i="27"/>
  <c r="Y11" i="27"/>
  <c r="X11" i="27"/>
  <c r="W11" i="27"/>
  <c r="V11" i="27"/>
  <c r="U11" i="27"/>
  <c r="T11" i="27"/>
  <c r="AK10" i="27"/>
  <c r="AM10" i="27" s="1"/>
  <c r="AB10" i="27" a="1"/>
  <c r="AB10" i="27" s="1"/>
  <c r="Z10" i="27"/>
  <c r="Y10" i="27"/>
  <c r="X10" i="27"/>
  <c r="W10" i="27"/>
  <c r="V10" i="27"/>
  <c r="U10" i="27"/>
  <c r="T10" i="27"/>
  <c r="AK9" i="27"/>
  <c r="AM9" i="27" s="1"/>
  <c r="AB9" i="27" a="1"/>
  <c r="AB9" i="27" s="1"/>
  <c r="Z9" i="27"/>
  <c r="Y9" i="27"/>
  <c r="X9" i="27"/>
  <c r="W9" i="27"/>
  <c r="V9" i="27"/>
  <c r="U9" i="27"/>
  <c r="T9" i="27"/>
  <c r="AK8" i="27"/>
  <c r="AB8" i="27" a="1"/>
  <c r="AB8" i="27" s="1"/>
  <c r="Z8" i="27"/>
  <c r="Y8" i="27"/>
  <c r="X8" i="27"/>
  <c r="W8" i="27"/>
  <c r="V8" i="27"/>
  <c r="U8" i="27"/>
  <c r="T8" i="27"/>
  <c r="AK7" i="27"/>
  <c r="AM7" i="27" s="1"/>
  <c r="AB7" i="27" a="1"/>
  <c r="AB7" i="27" s="1"/>
  <c r="Z7" i="27"/>
  <c r="Y7" i="27"/>
  <c r="X7" i="27"/>
  <c r="W7" i="27"/>
  <c r="V7" i="27"/>
  <c r="U7" i="27"/>
  <c r="T7" i="27"/>
  <c r="AK6" i="27"/>
  <c r="AM6" i="27" s="1"/>
  <c r="AB6" i="27" a="1"/>
  <c r="AB6" i="27" s="1"/>
  <c r="Z6" i="27"/>
  <c r="Y6" i="27"/>
  <c r="X6" i="27"/>
  <c r="W6" i="27"/>
  <c r="V6" i="27"/>
  <c r="U6" i="27"/>
  <c r="T6" i="27"/>
  <c r="AK5" i="27"/>
  <c r="AM5" i="27" s="1"/>
  <c r="AB5" i="27" a="1"/>
  <c r="AB5" i="27" s="1"/>
  <c r="Z5" i="27"/>
  <c r="Y5" i="27"/>
  <c r="X5" i="27"/>
  <c r="W5" i="27"/>
  <c r="V5" i="27"/>
  <c r="U5" i="27"/>
  <c r="T5" i="27"/>
  <c r="AK4" i="27"/>
  <c r="AM4" i="27" s="1"/>
  <c r="AE4" i="27"/>
  <c r="AC18" i="27" s="1"/>
  <c r="AB4" i="27" a="1"/>
  <c r="AB4" i="27" s="1"/>
  <c r="Z4" i="27"/>
  <c r="Y4" i="27"/>
  <c r="X4" i="27"/>
  <c r="W4" i="27"/>
  <c r="V4" i="27"/>
  <c r="U4" i="27"/>
  <c r="T4" i="27"/>
  <c r="AK3" i="27"/>
  <c r="AM3" i="27" s="1"/>
  <c r="AE3" i="27"/>
  <c r="AB3" i="27" a="1"/>
  <c r="AB3" i="27" s="1"/>
  <c r="Z3" i="27"/>
  <c r="Y3" i="27"/>
  <c r="X3" i="27"/>
  <c r="W3" i="27"/>
  <c r="V3" i="27"/>
  <c r="U3" i="27"/>
  <c r="T3" i="27"/>
  <c r="AK2" i="27"/>
  <c r="AM2" i="27" s="1"/>
  <c r="AE2" i="27"/>
  <c r="AB2" i="27" a="1"/>
  <c r="AB2" i="27" s="1"/>
  <c r="Z2" i="27"/>
  <c r="Y2" i="27"/>
  <c r="X2" i="27"/>
  <c r="W2" i="27"/>
  <c r="V2" i="27"/>
  <c r="U2" i="27"/>
  <c r="T2" i="27"/>
  <c r="G39" i="16"/>
  <c r="G40" i="16" s="1"/>
  <c r="G38" i="16"/>
  <c r="Z21" i="16"/>
  <c r="AA31" i="2" s="1"/>
  <c r="R16" i="16"/>
  <c r="R15" i="16"/>
  <c r="R14" i="16"/>
  <c r="R13" i="16"/>
  <c r="R12" i="16"/>
  <c r="G10" i="16"/>
  <c r="G9" i="16"/>
  <c r="R6" i="16"/>
  <c r="E6" i="16"/>
  <c r="F6" i="16" s="1"/>
  <c r="R5" i="16"/>
  <c r="E5" i="16"/>
  <c r="F5" i="16" s="1"/>
  <c r="R4" i="16"/>
  <c r="E4" i="16"/>
  <c r="F4" i="16" s="1"/>
  <c r="R3" i="16"/>
  <c r="E3" i="16"/>
  <c r="F3" i="16" s="1"/>
  <c r="R2" i="16"/>
  <c r="P2" i="16"/>
  <c r="O2" i="16"/>
  <c r="N2" i="16"/>
  <c r="M2" i="16"/>
  <c r="L2" i="16"/>
  <c r="K2" i="16"/>
  <c r="E2" i="16"/>
  <c r="F2" i="16" s="1"/>
  <c r="BU58" i="18"/>
  <c r="BU57" i="18"/>
  <c r="BU56" i="18"/>
  <c r="BU55" i="18"/>
  <c r="BU54" i="18"/>
  <c r="BU53" i="18"/>
  <c r="BU52" i="18"/>
  <c r="BU51" i="18"/>
  <c r="BU50" i="18"/>
  <c r="BU49" i="18"/>
  <c r="BU48" i="18"/>
  <c r="BU47" i="18"/>
  <c r="BU46" i="18"/>
  <c r="BU45" i="18"/>
  <c r="BU44" i="18"/>
  <c r="BU43" i="18"/>
  <c r="BU42" i="18"/>
  <c r="BU41" i="18"/>
  <c r="BU40" i="18"/>
  <c r="BU39" i="18"/>
  <c r="BU38" i="18"/>
  <c r="BU37" i="18"/>
  <c r="BU36" i="18"/>
  <c r="BU35" i="18"/>
  <c r="BU34" i="18"/>
  <c r="BU33" i="18"/>
  <c r="BU32" i="18"/>
  <c r="BU31" i="18"/>
  <c r="BU30" i="18"/>
  <c r="BU29" i="18"/>
  <c r="BU28" i="18"/>
  <c r="BU27" i="18"/>
  <c r="BU26" i="18"/>
  <c r="BU25" i="18"/>
  <c r="BU24" i="18"/>
  <c r="BU23" i="18"/>
  <c r="BU22" i="18"/>
  <c r="BC22" i="18"/>
  <c r="BB22" i="18"/>
  <c r="BA22" i="18"/>
  <c r="AZ22" i="18"/>
  <c r="BU21" i="18"/>
  <c r="BU20" i="18"/>
  <c r="BU19" i="18"/>
  <c r="BU18" i="18"/>
  <c r="BU17" i="18"/>
  <c r="BU16" i="18"/>
  <c r="BU15" i="18"/>
  <c r="BU14" i="18"/>
  <c r="BU13" i="18"/>
  <c r="BU12" i="18"/>
  <c r="BU11" i="18"/>
  <c r="BU10" i="18"/>
  <c r="BU9" i="18"/>
  <c r="BU8" i="18"/>
  <c r="BU7" i="18"/>
  <c r="BU6" i="18"/>
  <c r="AF6" i="18"/>
  <c r="BU5" i="18"/>
  <c r="BU4" i="18"/>
  <c r="AL4" i="18"/>
  <c r="AK4" i="18"/>
  <c r="AJ4" i="18"/>
  <c r="AE4" i="18"/>
  <c r="AF4" i="18" s="1"/>
  <c r="BU3" i="18"/>
  <c r="BL3" i="18"/>
  <c r="BQ3" i="18" s="1"/>
  <c r="AL3" i="18"/>
  <c r="AK3" i="18"/>
  <c r="AJ3" i="18"/>
  <c r="AE3" i="18"/>
  <c r="AF3" i="18" s="1"/>
  <c r="BU2" i="18"/>
  <c r="BL2" i="18"/>
  <c r="BP2" i="18" s="1"/>
  <c r="AL2" i="18"/>
  <c r="AK2" i="18"/>
  <c r="AJ2" i="18"/>
  <c r="AE2" i="18"/>
  <c r="AF2" i="18" s="1"/>
  <c r="Z2" i="18"/>
  <c r="AA10" i="18" s="1"/>
  <c r="X2" i="18"/>
  <c r="Y17" i="18" s="1"/>
  <c r="V2" i="18"/>
  <c r="T2" i="18"/>
  <c r="U11" i="18" s="1"/>
  <c r="L14" i="29"/>
  <c r="M14" i="29" s="1"/>
  <c r="L13" i="29"/>
  <c r="M13" i="29" s="1"/>
  <c r="L12" i="29"/>
  <c r="M12" i="29" s="1"/>
  <c r="L11" i="29"/>
  <c r="M11" i="29" s="1"/>
  <c r="L10" i="29"/>
  <c r="M10" i="29" s="1"/>
  <c r="L9" i="29"/>
  <c r="M9" i="29" s="1"/>
  <c r="L8" i="29"/>
  <c r="M8" i="29" s="1"/>
  <c r="O7" i="29"/>
  <c r="P7" i="29" s="1"/>
  <c r="L7" i="29"/>
  <c r="M7" i="29" s="1"/>
  <c r="O6" i="29"/>
  <c r="P6" i="29" s="1"/>
  <c r="L6" i="29"/>
  <c r="M6" i="29" s="1"/>
  <c r="O5" i="29"/>
  <c r="P5" i="29" s="1"/>
  <c r="L5" i="29"/>
  <c r="M5" i="29" s="1"/>
  <c r="O4" i="29"/>
  <c r="P4" i="29" s="1"/>
  <c r="L4" i="29"/>
  <c r="M4" i="29" s="1"/>
  <c r="A363" i="10"/>
  <c r="A362" i="10"/>
  <c r="A361" i="10"/>
  <c r="A360" i="10"/>
  <c r="A359" i="10"/>
  <c r="A358" i="10"/>
  <c r="A357" i="10"/>
  <c r="A356" i="10"/>
  <c r="A355" i="10"/>
  <c r="A354" i="10"/>
  <c r="A353" i="10"/>
  <c r="A352" i="10"/>
  <c r="A351" i="10"/>
  <c r="A350" i="10"/>
  <c r="A349" i="10"/>
  <c r="A348" i="10"/>
  <c r="A347" i="10"/>
  <c r="A346" i="10"/>
  <c r="A345" i="10"/>
  <c r="A344" i="10"/>
  <c r="A343" i="10"/>
  <c r="A342" i="10"/>
  <c r="A341" i="10"/>
  <c r="A340" i="10"/>
  <c r="A339" i="10"/>
  <c r="A338" i="10"/>
  <c r="A337" i="10"/>
  <c r="A336" i="10"/>
  <c r="A335" i="10"/>
  <c r="A334" i="10"/>
  <c r="A333" i="10"/>
  <c r="A332" i="10"/>
  <c r="A331" i="10"/>
  <c r="A330" i="10"/>
  <c r="A329" i="10"/>
  <c r="A328" i="10"/>
  <c r="A327" i="10"/>
  <c r="A326" i="10"/>
  <c r="A325" i="10"/>
  <c r="A324" i="10"/>
  <c r="A323" i="10"/>
  <c r="A322" i="10"/>
  <c r="A321" i="10"/>
  <c r="A320" i="10"/>
  <c r="A319" i="10"/>
  <c r="A318" i="10"/>
  <c r="A317" i="10"/>
  <c r="A316" i="10"/>
  <c r="A315" i="10"/>
  <c r="A314" i="10"/>
  <c r="A313" i="10"/>
  <c r="A312" i="10"/>
  <c r="A311" i="10"/>
  <c r="A310" i="10"/>
  <c r="A309" i="10"/>
  <c r="A308" i="10"/>
  <c r="A307" i="10"/>
  <c r="A306" i="10"/>
  <c r="A305" i="10"/>
  <c r="A304" i="10"/>
  <c r="A303" i="10"/>
  <c r="A302" i="10"/>
  <c r="B301" i="10"/>
  <c r="F301" i="10" s="1"/>
  <c r="B300" i="10"/>
  <c r="F300" i="10" s="1"/>
  <c r="B299" i="10"/>
  <c r="F299" i="10" s="1"/>
  <c r="B298" i="10"/>
  <c r="F298" i="10" s="1"/>
  <c r="B297" i="10"/>
  <c r="F297" i="10" s="1"/>
  <c r="B296" i="10"/>
  <c r="F296" i="10" s="1"/>
  <c r="B295" i="10"/>
  <c r="F295" i="10" s="1"/>
  <c r="B294" i="10"/>
  <c r="F294" i="10" s="1"/>
  <c r="B293" i="10"/>
  <c r="F293" i="10" s="1"/>
  <c r="B292" i="10"/>
  <c r="F292" i="10" s="1"/>
  <c r="B291" i="10"/>
  <c r="F291" i="10" s="1"/>
  <c r="B290" i="10"/>
  <c r="F290" i="10" s="1"/>
  <c r="B289" i="10"/>
  <c r="F289" i="10" s="1"/>
  <c r="B288" i="10"/>
  <c r="F288" i="10" s="1"/>
  <c r="B287" i="10"/>
  <c r="F287" i="10" s="1"/>
  <c r="B286" i="10"/>
  <c r="F286" i="10" s="1"/>
  <c r="B285" i="10"/>
  <c r="F285" i="10" s="1"/>
  <c r="B284" i="10"/>
  <c r="F284" i="10" s="1"/>
  <c r="B283" i="10"/>
  <c r="F283" i="10" s="1"/>
  <c r="B282" i="10"/>
  <c r="F282" i="10" s="1"/>
  <c r="B281" i="10"/>
  <c r="F281" i="10" s="1"/>
  <c r="B280" i="10"/>
  <c r="F280" i="10" s="1"/>
  <c r="B279" i="10"/>
  <c r="F279" i="10" s="1"/>
  <c r="B278" i="10"/>
  <c r="F278" i="10" s="1"/>
  <c r="F277" i="10"/>
  <c r="B277" i="10"/>
  <c r="B276" i="10"/>
  <c r="F276" i="10" s="1"/>
  <c r="B275" i="10"/>
  <c r="F275" i="10" s="1"/>
  <c r="B274" i="10"/>
  <c r="F274" i="10" s="1"/>
  <c r="B273" i="10"/>
  <c r="F273" i="10" s="1"/>
  <c r="B272" i="10"/>
  <c r="F272" i="10" s="1"/>
  <c r="B271" i="10"/>
  <c r="F271" i="10" s="1"/>
  <c r="B270" i="10"/>
  <c r="F270" i="10" s="1"/>
  <c r="B269" i="10"/>
  <c r="F269" i="10" s="1"/>
  <c r="B268" i="10"/>
  <c r="F268" i="10" s="1"/>
  <c r="B267" i="10"/>
  <c r="F267" i="10" s="1"/>
  <c r="B266" i="10"/>
  <c r="F266" i="10" s="1"/>
  <c r="F265" i="10"/>
  <c r="B265" i="10"/>
  <c r="B264" i="10"/>
  <c r="F264" i="10" s="1"/>
  <c r="B263" i="10"/>
  <c r="F263" i="10" s="1"/>
  <c r="B262" i="10"/>
  <c r="F262" i="10" s="1"/>
  <c r="B261" i="10"/>
  <c r="F261" i="10" s="1"/>
  <c r="B260" i="10"/>
  <c r="F260" i="10" s="1"/>
  <c r="B259" i="10"/>
  <c r="F259" i="10" s="1"/>
  <c r="B258" i="10"/>
  <c r="F258" i="10" s="1"/>
  <c r="B257" i="10"/>
  <c r="F257" i="10" s="1"/>
  <c r="B256" i="10"/>
  <c r="F256" i="10" s="1"/>
  <c r="B255" i="10"/>
  <c r="F255" i="10" s="1"/>
  <c r="B254" i="10"/>
  <c r="F254" i="10" s="1"/>
  <c r="B253" i="10"/>
  <c r="F253" i="10" s="1"/>
  <c r="B252" i="10"/>
  <c r="F252" i="10" s="1"/>
  <c r="B251" i="10"/>
  <c r="F251" i="10" s="1"/>
  <c r="B250" i="10"/>
  <c r="F250" i="10" s="1"/>
  <c r="B249" i="10"/>
  <c r="F249" i="10" s="1"/>
  <c r="B248" i="10"/>
  <c r="F248" i="10" s="1"/>
  <c r="B247" i="10"/>
  <c r="F247" i="10" s="1"/>
  <c r="B246" i="10"/>
  <c r="F246" i="10" s="1"/>
  <c r="B245" i="10"/>
  <c r="F245" i="10" s="1"/>
  <c r="B244" i="10"/>
  <c r="F244" i="10" s="1"/>
  <c r="B243" i="10"/>
  <c r="F243" i="10" s="1"/>
  <c r="B242" i="10"/>
  <c r="F242" i="10" s="1"/>
  <c r="B241" i="10"/>
  <c r="F241" i="10" s="1"/>
  <c r="B240" i="10"/>
  <c r="F240" i="10" s="1"/>
  <c r="B239" i="10"/>
  <c r="F239" i="10" s="1"/>
  <c r="B238" i="10"/>
  <c r="F238" i="10" s="1"/>
  <c r="B237" i="10"/>
  <c r="F237" i="10" s="1"/>
  <c r="B236" i="10"/>
  <c r="F236" i="10" s="1"/>
  <c r="B235" i="10"/>
  <c r="F235" i="10" s="1"/>
  <c r="B234" i="10"/>
  <c r="F234" i="10" s="1"/>
  <c r="B233" i="10"/>
  <c r="F233" i="10" s="1"/>
  <c r="B232" i="10"/>
  <c r="F232" i="10" s="1"/>
  <c r="F231" i="10"/>
  <c r="B231" i="10"/>
  <c r="B230" i="10"/>
  <c r="F230" i="10" s="1"/>
  <c r="B229" i="10"/>
  <c r="F229" i="10" s="1"/>
  <c r="B228" i="10"/>
  <c r="F228" i="10" s="1"/>
  <c r="B227" i="10"/>
  <c r="F227" i="10" s="1"/>
  <c r="B226" i="10"/>
  <c r="F226" i="10" s="1"/>
  <c r="B225" i="10"/>
  <c r="F225" i="10" s="1"/>
  <c r="B224" i="10"/>
  <c r="F224" i="10" s="1"/>
  <c r="B223" i="10"/>
  <c r="F223" i="10" s="1"/>
  <c r="B222" i="10"/>
  <c r="F222" i="10" s="1"/>
  <c r="B221" i="10"/>
  <c r="F221" i="10" s="1"/>
  <c r="B220" i="10"/>
  <c r="F220" i="10" s="1"/>
  <c r="B219" i="10"/>
  <c r="F219" i="10" s="1"/>
  <c r="B218" i="10"/>
  <c r="F218" i="10" s="1"/>
  <c r="B217" i="10"/>
  <c r="F217" i="10" s="1"/>
  <c r="B216" i="10"/>
  <c r="F216" i="10" s="1"/>
  <c r="B215" i="10"/>
  <c r="F215" i="10" s="1"/>
  <c r="B214" i="10"/>
  <c r="F214" i="10" s="1"/>
  <c r="B213" i="10"/>
  <c r="F213" i="10" s="1"/>
  <c r="B212" i="10"/>
  <c r="F212" i="10" s="1"/>
  <c r="B211" i="10"/>
  <c r="F211" i="10" s="1"/>
  <c r="B210" i="10"/>
  <c r="F210" i="10" s="1"/>
  <c r="F209" i="10"/>
  <c r="B209" i="10"/>
  <c r="B208" i="10"/>
  <c r="F208" i="10" s="1"/>
  <c r="F207" i="10"/>
  <c r="B207" i="10"/>
  <c r="B206" i="10"/>
  <c r="F206" i="10" s="1"/>
  <c r="B205" i="10"/>
  <c r="F205" i="10" s="1"/>
  <c r="B204" i="10"/>
  <c r="F204" i="10" s="1"/>
  <c r="B203" i="10"/>
  <c r="F203" i="10" s="1"/>
  <c r="B202" i="10"/>
  <c r="F202" i="10" s="1"/>
  <c r="F201" i="10"/>
  <c r="B201" i="10"/>
  <c r="B200" i="10"/>
  <c r="F200" i="10" s="1"/>
  <c r="B199" i="10"/>
  <c r="F199" i="10" s="1"/>
  <c r="B198" i="10"/>
  <c r="F198" i="10" s="1"/>
  <c r="B197" i="10"/>
  <c r="F197" i="10" s="1"/>
  <c r="B196" i="10"/>
  <c r="F196" i="10" s="1"/>
  <c r="B195" i="10"/>
  <c r="F195" i="10" s="1"/>
  <c r="B194" i="10"/>
  <c r="F194" i="10" s="1"/>
  <c r="B193" i="10"/>
  <c r="F193" i="10" s="1"/>
  <c r="B192" i="10"/>
  <c r="F192" i="10" s="1"/>
  <c r="B191" i="10"/>
  <c r="F191" i="10" s="1"/>
  <c r="B190" i="10"/>
  <c r="F190" i="10" s="1"/>
  <c r="B189" i="10"/>
  <c r="F189" i="10" s="1"/>
  <c r="B188" i="10"/>
  <c r="F188" i="10" s="1"/>
  <c r="B187" i="10"/>
  <c r="F187" i="10" s="1"/>
  <c r="B186" i="10"/>
  <c r="F186" i="10" s="1"/>
  <c r="B185" i="10"/>
  <c r="F185" i="10" s="1"/>
  <c r="B184" i="10"/>
  <c r="F184" i="10" s="1"/>
  <c r="B183" i="10"/>
  <c r="F183" i="10" s="1"/>
  <c r="B182" i="10"/>
  <c r="F182" i="10" s="1"/>
  <c r="B181" i="10"/>
  <c r="F181" i="10" s="1"/>
  <c r="B180" i="10"/>
  <c r="F180" i="10" s="1"/>
  <c r="B179" i="10"/>
  <c r="F179" i="10" s="1"/>
  <c r="B178" i="10"/>
  <c r="F178" i="10" s="1"/>
  <c r="B177" i="10"/>
  <c r="F177" i="10" s="1"/>
  <c r="B176" i="10"/>
  <c r="F176" i="10" s="1"/>
  <c r="B175" i="10"/>
  <c r="F175" i="10" s="1"/>
  <c r="B174" i="10"/>
  <c r="F174" i="10" s="1"/>
  <c r="B173" i="10"/>
  <c r="F173" i="10" s="1"/>
  <c r="B172" i="10"/>
  <c r="F172" i="10" s="1"/>
  <c r="B171" i="10"/>
  <c r="F171" i="10" s="1"/>
  <c r="B170" i="10"/>
  <c r="F170" i="10" s="1"/>
  <c r="B169" i="10"/>
  <c r="F169" i="10" s="1"/>
  <c r="B168" i="10"/>
  <c r="F168" i="10" s="1"/>
  <c r="B167" i="10"/>
  <c r="F167" i="10" s="1"/>
  <c r="B166" i="10"/>
  <c r="F166" i="10" s="1"/>
  <c r="B165" i="10"/>
  <c r="F165" i="10" s="1"/>
  <c r="B164" i="10"/>
  <c r="F164" i="10" s="1"/>
  <c r="B163" i="10"/>
  <c r="F163" i="10" s="1"/>
  <c r="B162" i="10"/>
  <c r="F162" i="10" s="1"/>
  <c r="B161" i="10"/>
  <c r="F161" i="10" s="1"/>
  <c r="B160" i="10"/>
  <c r="F160" i="10" s="1"/>
  <c r="B159" i="10"/>
  <c r="F159" i="10" s="1"/>
  <c r="B158" i="10"/>
  <c r="F158" i="10" s="1"/>
  <c r="B157" i="10"/>
  <c r="F157" i="10" s="1"/>
  <c r="B156" i="10"/>
  <c r="F156" i="10" s="1"/>
  <c r="B155" i="10"/>
  <c r="F155" i="10" s="1"/>
  <c r="B154" i="10"/>
  <c r="F154" i="10" s="1"/>
  <c r="B153" i="10"/>
  <c r="F153" i="10" s="1"/>
  <c r="B152" i="10"/>
  <c r="F152" i="10" s="1"/>
  <c r="B151" i="10"/>
  <c r="F151" i="10" s="1"/>
  <c r="B150" i="10"/>
  <c r="F150" i="10" s="1"/>
  <c r="B149" i="10"/>
  <c r="F149" i="10" s="1"/>
  <c r="B148" i="10"/>
  <c r="F148" i="10" s="1"/>
  <c r="B147" i="10"/>
  <c r="F147" i="10" s="1"/>
  <c r="B146" i="10"/>
  <c r="F146" i="10" s="1"/>
  <c r="B145" i="10"/>
  <c r="F145" i="10" s="1"/>
  <c r="B144" i="10"/>
  <c r="F144" i="10" s="1"/>
  <c r="B143" i="10"/>
  <c r="F143" i="10" s="1"/>
  <c r="B142" i="10"/>
  <c r="F142" i="10" s="1"/>
  <c r="B141" i="10"/>
  <c r="F141" i="10" s="1"/>
  <c r="B140" i="10"/>
  <c r="F140" i="10" s="1"/>
  <c r="B139" i="10"/>
  <c r="F139" i="10" s="1"/>
  <c r="B138" i="10"/>
  <c r="F138" i="10" s="1"/>
  <c r="B137" i="10"/>
  <c r="F137" i="10" s="1"/>
  <c r="B136" i="10"/>
  <c r="F136" i="10" s="1"/>
  <c r="B135" i="10"/>
  <c r="F135" i="10" s="1"/>
  <c r="B134" i="10"/>
  <c r="F134" i="10" s="1"/>
  <c r="B133" i="10"/>
  <c r="F133" i="10" s="1"/>
  <c r="B132" i="10"/>
  <c r="F132" i="10" s="1"/>
  <c r="B131" i="10"/>
  <c r="F131" i="10" s="1"/>
  <c r="B130" i="10"/>
  <c r="F130" i="10" s="1"/>
  <c r="B129" i="10"/>
  <c r="F129" i="10" s="1"/>
  <c r="B128" i="10"/>
  <c r="F128" i="10" s="1"/>
  <c r="B127" i="10"/>
  <c r="F127" i="10" s="1"/>
  <c r="B126" i="10"/>
  <c r="F126" i="10" s="1"/>
  <c r="B125" i="10"/>
  <c r="F125" i="10" s="1"/>
  <c r="B124" i="10"/>
  <c r="F124" i="10" s="1"/>
  <c r="B123" i="10"/>
  <c r="F123" i="10" s="1"/>
  <c r="B122" i="10"/>
  <c r="F122" i="10" s="1"/>
  <c r="B121" i="10"/>
  <c r="F121" i="10" s="1"/>
  <c r="B120" i="10"/>
  <c r="F120" i="10" s="1"/>
  <c r="B119" i="10"/>
  <c r="F119" i="10" s="1"/>
  <c r="B118" i="10"/>
  <c r="F118" i="10" s="1"/>
  <c r="B117" i="10"/>
  <c r="F117" i="10" s="1"/>
  <c r="B116" i="10"/>
  <c r="F116" i="10" s="1"/>
  <c r="B115" i="10"/>
  <c r="F115" i="10" s="1"/>
  <c r="B114" i="10"/>
  <c r="F114" i="10" s="1"/>
  <c r="B113" i="10"/>
  <c r="F113" i="10" s="1"/>
  <c r="B112" i="10"/>
  <c r="F112" i="10" s="1"/>
  <c r="B111" i="10"/>
  <c r="F111" i="10" s="1"/>
  <c r="B110" i="10"/>
  <c r="F110" i="10" s="1"/>
  <c r="B109" i="10"/>
  <c r="F109" i="10" s="1"/>
  <c r="B108" i="10"/>
  <c r="F108" i="10" s="1"/>
  <c r="B107" i="10"/>
  <c r="F107" i="10" s="1"/>
  <c r="B106" i="10"/>
  <c r="F106" i="10" s="1"/>
  <c r="B105" i="10"/>
  <c r="F105" i="10" s="1"/>
  <c r="B104" i="10"/>
  <c r="F104" i="10" s="1"/>
  <c r="B103" i="10"/>
  <c r="F103" i="10" s="1"/>
  <c r="B102" i="10"/>
  <c r="F102" i="10" s="1"/>
  <c r="B101" i="10"/>
  <c r="F101" i="10" s="1"/>
  <c r="B100" i="10"/>
  <c r="F100" i="10" s="1"/>
  <c r="B99" i="10"/>
  <c r="F99" i="10" s="1"/>
  <c r="B98" i="10"/>
  <c r="F98" i="10" s="1"/>
  <c r="B97" i="10"/>
  <c r="F97" i="10" s="1"/>
  <c r="B96" i="10"/>
  <c r="F96" i="10" s="1"/>
  <c r="B95" i="10"/>
  <c r="F95" i="10" s="1"/>
  <c r="B94" i="10"/>
  <c r="F94" i="10" s="1"/>
  <c r="F93" i="10"/>
  <c r="B93" i="10"/>
  <c r="B92" i="10"/>
  <c r="F92" i="10" s="1"/>
  <c r="B91" i="10"/>
  <c r="F91" i="10" s="1"/>
  <c r="B90" i="10"/>
  <c r="F90" i="10" s="1"/>
  <c r="B89" i="10"/>
  <c r="F89" i="10" s="1"/>
  <c r="B88" i="10"/>
  <c r="F88" i="10" s="1"/>
  <c r="B87" i="10"/>
  <c r="F87" i="10" s="1"/>
  <c r="B86" i="10"/>
  <c r="F86" i="10" s="1"/>
  <c r="B85" i="10"/>
  <c r="F85" i="10" s="1"/>
  <c r="B84" i="10"/>
  <c r="F84" i="10" s="1"/>
  <c r="B83" i="10"/>
  <c r="F83" i="10" s="1"/>
  <c r="B82" i="10"/>
  <c r="F82" i="10" s="1"/>
  <c r="B81" i="10"/>
  <c r="F81" i="10" s="1"/>
  <c r="B80" i="10"/>
  <c r="F80" i="10" s="1"/>
  <c r="B79" i="10"/>
  <c r="F79" i="10" s="1"/>
  <c r="B78" i="10"/>
  <c r="F78" i="10" s="1"/>
  <c r="B77" i="10"/>
  <c r="F77" i="10" s="1"/>
  <c r="B76" i="10"/>
  <c r="F76" i="10" s="1"/>
  <c r="B75" i="10"/>
  <c r="F75" i="10" s="1"/>
  <c r="B74" i="10"/>
  <c r="F74" i="10" s="1"/>
  <c r="B73" i="10"/>
  <c r="F73" i="10" s="1"/>
  <c r="B72" i="10"/>
  <c r="F72" i="10" s="1"/>
  <c r="B71" i="10"/>
  <c r="F71" i="10" s="1"/>
  <c r="B70" i="10"/>
  <c r="F70" i="10" s="1"/>
  <c r="B69" i="10"/>
  <c r="F69" i="10" s="1"/>
  <c r="B68" i="10"/>
  <c r="F68" i="10" s="1"/>
  <c r="B67" i="10"/>
  <c r="F67" i="10" s="1"/>
  <c r="B66" i="10"/>
  <c r="F66" i="10" s="1"/>
  <c r="B65" i="10"/>
  <c r="F65" i="10" s="1"/>
  <c r="B64" i="10"/>
  <c r="F64" i="10" s="1"/>
  <c r="B63" i="10"/>
  <c r="F63" i="10" s="1"/>
  <c r="B62" i="10"/>
  <c r="F62" i="10" s="1"/>
  <c r="B61" i="10"/>
  <c r="F61" i="10" s="1"/>
  <c r="B60" i="10"/>
  <c r="F60" i="10" s="1"/>
  <c r="H59" i="10"/>
  <c r="B59" i="10"/>
  <c r="F59" i="10" s="1"/>
  <c r="H58" i="10"/>
  <c r="B58" i="10"/>
  <c r="F58" i="10" s="1"/>
  <c r="H57" i="10"/>
  <c r="B57" i="10"/>
  <c r="F57" i="10" s="1"/>
  <c r="H56" i="10"/>
  <c r="B56" i="10"/>
  <c r="F56" i="10" s="1"/>
  <c r="H55" i="10"/>
  <c r="B55" i="10"/>
  <c r="F55" i="10" s="1"/>
  <c r="H54" i="10"/>
  <c r="B54" i="10"/>
  <c r="F54" i="10" s="1"/>
  <c r="H53" i="10"/>
  <c r="B53" i="10"/>
  <c r="F53" i="10" s="1"/>
  <c r="H52" i="10"/>
  <c r="B52" i="10"/>
  <c r="F52" i="10" s="1"/>
  <c r="H51" i="10"/>
  <c r="B51" i="10"/>
  <c r="F51" i="10" s="1"/>
  <c r="H50" i="10"/>
  <c r="B50" i="10"/>
  <c r="F50" i="10" s="1"/>
  <c r="H49" i="10"/>
  <c r="B49" i="10"/>
  <c r="F49" i="10" s="1"/>
  <c r="H48" i="10"/>
  <c r="B48" i="10"/>
  <c r="F48" i="10" s="1"/>
  <c r="H47" i="10"/>
  <c r="B47" i="10"/>
  <c r="F47" i="10" s="1"/>
  <c r="H46" i="10"/>
  <c r="B46" i="10"/>
  <c r="F46" i="10" s="1"/>
  <c r="H45" i="10"/>
  <c r="B45" i="10"/>
  <c r="F45" i="10" s="1"/>
  <c r="H44" i="10"/>
  <c r="B44" i="10"/>
  <c r="F44" i="10" s="1"/>
  <c r="H43" i="10"/>
  <c r="B43" i="10"/>
  <c r="F43" i="10" s="1"/>
  <c r="H42" i="10"/>
  <c r="B42" i="10"/>
  <c r="F42" i="10" s="1"/>
  <c r="H41" i="10"/>
  <c r="B41" i="10"/>
  <c r="F41" i="10" s="1"/>
  <c r="H40" i="10"/>
  <c r="B40" i="10"/>
  <c r="F40" i="10" s="1"/>
  <c r="CF39" i="10"/>
  <c r="H39" i="10"/>
  <c r="B39" i="10"/>
  <c r="F39" i="10" s="1"/>
  <c r="CF38" i="10"/>
  <c r="CD38" i="10"/>
  <c r="H38" i="10"/>
  <c r="B38" i="10"/>
  <c r="F38" i="10" s="1"/>
  <c r="CF37" i="10"/>
  <c r="CD37" i="10"/>
  <c r="H37" i="10"/>
  <c r="B37" i="10"/>
  <c r="F37" i="10" s="1"/>
  <c r="CF36" i="10"/>
  <c r="H36" i="10"/>
  <c r="B36" i="10"/>
  <c r="F36" i="10" s="1"/>
  <c r="CF35" i="10"/>
  <c r="H35" i="10"/>
  <c r="B35" i="10"/>
  <c r="F35" i="10" s="1"/>
  <c r="CF34" i="10"/>
  <c r="BN34" i="10"/>
  <c r="BM34" i="10"/>
  <c r="BL34" i="10"/>
  <c r="H34" i="10"/>
  <c r="B34" i="10"/>
  <c r="F34" i="10" s="1"/>
  <c r="CF33" i="10"/>
  <c r="BN33" i="10"/>
  <c r="BM33" i="10"/>
  <c r="BL33" i="10"/>
  <c r="H33" i="10"/>
  <c r="B33" i="10"/>
  <c r="F33" i="10" s="1"/>
  <c r="CF32" i="10"/>
  <c r="BN32" i="10"/>
  <c r="BM32" i="10"/>
  <c r="BL32" i="10"/>
  <c r="H32" i="10"/>
  <c r="B32" i="10"/>
  <c r="F32" i="10" s="1"/>
  <c r="CF31" i="10"/>
  <c r="BN31" i="10"/>
  <c r="BM31" i="10"/>
  <c r="BL31" i="10"/>
  <c r="H31" i="10"/>
  <c r="B31" i="10"/>
  <c r="F31" i="10" s="1"/>
  <c r="CF30" i="10"/>
  <c r="BN30" i="10"/>
  <c r="BM30" i="10"/>
  <c r="BL30" i="10"/>
  <c r="H30" i="10"/>
  <c r="B30" i="10"/>
  <c r="F30" i="10" s="1"/>
  <c r="CF29" i="10"/>
  <c r="BN29" i="10"/>
  <c r="BM29" i="10"/>
  <c r="BL29" i="10"/>
  <c r="H29" i="10"/>
  <c r="B29" i="10"/>
  <c r="F29" i="10" s="1"/>
  <c r="CF28" i="10"/>
  <c r="BN28" i="10"/>
  <c r="BM28" i="10"/>
  <c r="BL28" i="10"/>
  <c r="H28" i="10"/>
  <c r="B28" i="10"/>
  <c r="F28" i="10" s="1"/>
  <c r="CF27" i="10"/>
  <c r="BN27" i="10"/>
  <c r="BM27" i="10"/>
  <c r="BL27" i="10"/>
  <c r="H27" i="10"/>
  <c r="B27" i="10"/>
  <c r="F27" i="10" s="1"/>
  <c r="CF26" i="10"/>
  <c r="BN26" i="10"/>
  <c r="BM26" i="10"/>
  <c r="BL26" i="10"/>
  <c r="H26" i="10"/>
  <c r="B26" i="10"/>
  <c r="F26" i="10" s="1"/>
  <c r="CF25" i="10"/>
  <c r="BN25" i="10"/>
  <c r="BM25" i="10"/>
  <c r="BL25" i="10"/>
  <c r="H25" i="10"/>
  <c r="B25" i="10"/>
  <c r="F25" i="10" s="1"/>
  <c r="CF24" i="10"/>
  <c r="H24" i="10"/>
  <c r="B24" i="10"/>
  <c r="F24" i="10" s="1"/>
  <c r="BN23" i="10"/>
  <c r="BM23" i="10"/>
  <c r="BL23" i="10"/>
  <c r="H23" i="10"/>
  <c r="B23" i="10"/>
  <c r="F23" i="10" s="1"/>
  <c r="BN22" i="10"/>
  <c r="BM22" i="10"/>
  <c r="BL22" i="10"/>
  <c r="H22" i="10"/>
  <c r="B22" i="10"/>
  <c r="F22" i="10" s="1"/>
  <c r="BN21" i="10"/>
  <c r="BM21" i="10"/>
  <c r="BL21" i="10"/>
  <c r="H21" i="10"/>
  <c r="B21" i="10"/>
  <c r="F21" i="10" s="1"/>
  <c r="BN20" i="10"/>
  <c r="BM20" i="10"/>
  <c r="BL20" i="10"/>
  <c r="H20" i="10"/>
  <c r="B20" i="10"/>
  <c r="F20" i="10" s="1"/>
  <c r="BN19" i="10"/>
  <c r="BM19" i="10"/>
  <c r="BL19" i="10"/>
  <c r="H19" i="10"/>
  <c r="B19" i="10"/>
  <c r="F19" i="10" s="1"/>
  <c r="BN18" i="10"/>
  <c r="BM18" i="10"/>
  <c r="BL18" i="10"/>
  <c r="H18" i="10"/>
  <c r="B18" i="10"/>
  <c r="F18" i="10" s="1"/>
  <c r="BN17" i="10"/>
  <c r="BM17" i="10"/>
  <c r="BL17" i="10"/>
  <c r="H17" i="10"/>
  <c r="B17" i="10"/>
  <c r="F17" i="10" s="1"/>
  <c r="BN16" i="10"/>
  <c r="BM16" i="10"/>
  <c r="BL16" i="10"/>
  <c r="H16" i="10"/>
  <c r="B16" i="10"/>
  <c r="F16" i="10" s="1"/>
  <c r="BN15" i="10"/>
  <c r="BM15" i="10"/>
  <c r="BL15" i="10"/>
  <c r="H15" i="10"/>
  <c r="B15" i="10"/>
  <c r="F15" i="10" s="1"/>
  <c r="BN14" i="10"/>
  <c r="BM14" i="10"/>
  <c r="BL14" i="10"/>
  <c r="H14" i="10"/>
  <c r="B14" i="10"/>
  <c r="F14" i="10" s="1"/>
  <c r="O14" i="10"/>
  <c r="H13" i="10"/>
  <c r="B13" i="10"/>
  <c r="F13" i="10" s="1"/>
  <c r="O13" i="10"/>
  <c r="H12" i="10"/>
  <c r="B12" i="10"/>
  <c r="F12" i="10" s="1"/>
  <c r="BW11" i="10"/>
  <c r="BX11" i="10" s="1"/>
  <c r="F25" i="3" s="1"/>
  <c r="BM11" i="10"/>
  <c r="BL11" i="10"/>
  <c r="BN11" i="10" s="1"/>
  <c r="V14" i="3" s="1"/>
  <c r="F60" i="2"/>
  <c r="H11" i="10"/>
  <c r="B11" i="10"/>
  <c r="F11" i="10" s="1"/>
  <c r="BW10" i="10"/>
  <c r="CA10" i="10" s="1"/>
  <c r="V24" i="3" s="1"/>
  <c r="BM10" i="10"/>
  <c r="BL10" i="10"/>
  <c r="BN10" i="10" s="1"/>
  <c r="V13" i="3" s="1"/>
  <c r="H10" i="10"/>
  <c r="B10" i="10"/>
  <c r="F10" i="10" s="1"/>
  <c r="BW9" i="10"/>
  <c r="BX9" i="10" s="1"/>
  <c r="F23" i="3" s="1"/>
  <c r="BM9" i="10"/>
  <c r="BL9" i="10"/>
  <c r="BN9" i="10" s="1"/>
  <c r="V12" i="3" s="1"/>
  <c r="H9" i="10"/>
  <c r="B9" i="10"/>
  <c r="F9" i="10" s="1"/>
  <c r="BW8" i="10"/>
  <c r="BY8" i="10" s="1"/>
  <c r="BM8" i="10"/>
  <c r="BL8" i="10"/>
  <c r="BN8" i="10" s="1"/>
  <c r="V11" i="3" s="1"/>
  <c r="H8" i="10"/>
  <c r="B8" i="10"/>
  <c r="F8" i="10" s="1"/>
  <c r="BW7" i="10"/>
  <c r="CA7" i="10" s="1"/>
  <c r="V21" i="3" s="1"/>
  <c r="BM7" i="10"/>
  <c r="BL7" i="10"/>
  <c r="BN7" i="10" s="1"/>
  <c r="V10" i="3" s="1"/>
  <c r="H7" i="10"/>
  <c r="B7" i="10"/>
  <c r="F7" i="10" s="1"/>
  <c r="CC6" i="10"/>
  <c r="BW6" i="10"/>
  <c r="BY6" i="10" s="1"/>
  <c r="BM6" i="10"/>
  <c r="BL6" i="10"/>
  <c r="BN6" i="10" s="1"/>
  <c r="V9" i="3" s="1"/>
  <c r="H6" i="10"/>
  <c r="B6" i="10"/>
  <c r="F6" i="10" s="1"/>
  <c r="BW5" i="10"/>
  <c r="BX5" i="10" s="1"/>
  <c r="F19" i="3" s="1"/>
  <c r="BM5" i="10"/>
  <c r="BL5" i="10"/>
  <c r="BN5" i="10" s="1"/>
  <c r="V8" i="3" s="1"/>
  <c r="H5" i="10"/>
  <c r="B5" i="10"/>
  <c r="F5" i="10" s="1"/>
  <c r="BW4" i="10"/>
  <c r="BZ4" i="10" s="1"/>
  <c r="BM4" i="10"/>
  <c r="BL4" i="10"/>
  <c r="BN4" i="10" s="1"/>
  <c r="V7" i="3" s="1"/>
  <c r="H4" i="10"/>
  <c r="B4" i="10"/>
  <c r="F4" i="10" s="1"/>
  <c r="BW3" i="10"/>
  <c r="BX3" i="10" s="1"/>
  <c r="F17" i="3" s="1"/>
  <c r="BM3" i="10"/>
  <c r="BL3" i="10"/>
  <c r="BN3" i="10" s="1"/>
  <c r="V6" i="3" s="1"/>
  <c r="H3" i="10"/>
  <c r="B3" i="10"/>
  <c r="F3" i="10" s="1"/>
  <c r="BW2" i="10"/>
  <c r="CA2" i="10" s="1"/>
  <c r="V16" i="3" s="1"/>
  <c r="BM2" i="10"/>
  <c r="BL2" i="10"/>
  <c r="BN2" i="10" s="1"/>
  <c r="V5" i="3" s="1"/>
  <c r="H2" i="10"/>
  <c r="B2" i="10"/>
  <c r="F2" i="10" s="1"/>
  <c r="B82" i="2"/>
  <c r="G78" i="2"/>
  <c r="AN51" i="2"/>
  <c r="AC50" i="2"/>
  <c r="Q23" i="2"/>
  <c r="F18" i="2"/>
  <c r="R18" i="2" s="1"/>
  <c r="F17" i="2"/>
  <c r="R17" i="2" s="1"/>
  <c r="I46" i="2" s="1"/>
  <c r="CD36" i="10" s="1"/>
  <c r="F16" i="2"/>
  <c r="T16" i="2" s="1"/>
  <c r="F15" i="2"/>
  <c r="T15" i="2" s="1"/>
  <c r="F14" i="2"/>
  <c r="R14" i="2" s="1"/>
  <c r="T23" i="16" s="1"/>
  <c r="F13" i="2"/>
  <c r="V52" i="2" s="1"/>
  <c r="O9" i="2"/>
  <c r="S3" i="2"/>
  <c r="AI13" i="18" l="1"/>
  <c r="AI14" i="18"/>
  <c r="CA9" i="10"/>
  <c r="V23" i="3" s="1"/>
  <c r="BZ9" i="10"/>
  <c r="BY5" i="10"/>
  <c r="CA5" i="10"/>
  <c r="V19" i="3" s="1"/>
  <c r="BZ5" i="10"/>
  <c r="BX6" i="10"/>
  <c r="F20" i="3" s="1"/>
  <c r="V27" i="3" a="1"/>
  <c r="V27" i="3" s="1"/>
  <c r="R50" i="2" s="1"/>
  <c r="BY7" i="10"/>
  <c r="BZ6" i="10"/>
  <c r="CA6" i="10"/>
  <c r="V20" i="3" s="1"/>
  <c r="BZ2" i="10"/>
  <c r="BD48" i="3" a="1"/>
  <c r="BD48" i="3" s="1"/>
  <c r="AC52" i="2" s="1"/>
  <c r="BZ7" i="10"/>
  <c r="CA4" i="10"/>
  <c r="V18" i="3" s="1"/>
  <c r="BY9" i="10"/>
  <c r="BY3" i="10"/>
  <c r="BX8" i="10"/>
  <c r="F22" i="3" s="1"/>
  <c r="BY11" i="10"/>
  <c r="BZ11" i="10"/>
  <c r="CA3" i="10"/>
  <c r="V17" i="3" s="1"/>
  <c r="BZ8" i="10"/>
  <c r="CA11" i="10"/>
  <c r="V25" i="3" s="1"/>
  <c r="CA8" i="10"/>
  <c r="V22" i="3" s="1"/>
  <c r="BX10" i="10"/>
  <c r="F24" i="3" s="1"/>
  <c r="BY10" i="10"/>
  <c r="BZ3" i="10"/>
  <c r="BX2" i="10"/>
  <c r="F16" i="3" s="1"/>
  <c r="BY2" i="10"/>
  <c r="BX7" i="10"/>
  <c r="F21" i="3" s="1"/>
  <c r="BZ10" i="10"/>
  <c r="BY4" i="10"/>
  <c r="BX4" i="10"/>
  <c r="F18" i="3" s="1"/>
  <c r="V18" i="8"/>
  <c r="AH4" i="27"/>
  <c r="AD18" i="27"/>
  <c r="T17" i="2"/>
  <c r="R15" i="2"/>
  <c r="S25" i="16" s="1"/>
  <c r="AG4" i="27"/>
  <c r="T14" i="2"/>
  <c r="T18" i="2"/>
  <c r="AA11" i="18"/>
  <c r="BP3" i="18"/>
  <c r="AA4" i="18"/>
  <c r="AA15" i="18"/>
  <c r="AL6" i="18"/>
  <c r="AA4" i="16"/>
  <c r="AP35" i="2" s="1"/>
  <c r="T4" i="16"/>
  <c r="AJ35" i="2" s="1"/>
  <c r="U4" i="16"/>
  <c r="AN35" i="2" s="1"/>
  <c r="X4" i="16"/>
  <c r="S4" i="16"/>
  <c r="U35" i="2" s="1"/>
  <c r="V4" i="16"/>
  <c r="AC35" i="2" s="1"/>
  <c r="V5" i="16"/>
  <c r="AC36" i="2" s="1"/>
  <c r="AA5" i="16"/>
  <c r="AP36" i="2" s="1"/>
  <c r="T5" i="16"/>
  <c r="AJ36" i="2" s="1"/>
  <c r="U5" i="16"/>
  <c r="AN36" i="2" s="1"/>
  <c r="X5" i="16"/>
  <c r="S5" i="16"/>
  <c r="U36" i="2" s="1"/>
  <c r="U6" i="16"/>
  <c r="AN37" i="2" s="1"/>
  <c r="X6" i="16"/>
  <c r="AA6" i="16"/>
  <c r="AP37" i="2" s="1"/>
  <c r="T6" i="16"/>
  <c r="AJ37" i="2" s="1"/>
  <c r="S6" i="16"/>
  <c r="U37" i="2" s="1"/>
  <c r="V6" i="16"/>
  <c r="AA3" i="16"/>
  <c r="AP34" i="2" s="1"/>
  <c r="T3" i="16"/>
  <c r="AJ34" i="2" s="1"/>
  <c r="U3" i="16"/>
  <c r="AN34" i="2" s="1"/>
  <c r="X3" i="16"/>
  <c r="S3" i="16"/>
  <c r="U34" i="2" s="1"/>
  <c r="V3" i="16"/>
  <c r="AC34" i="2" s="1"/>
  <c r="V2" i="16"/>
  <c r="AC33" i="2" s="1"/>
  <c r="X2" i="16"/>
  <c r="Y2" i="16" s="1"/>
  <c r="AA2" i="16"/>
  <c r="U2" i="16"/>
  <c r="AN33" i="2" s="1"/>
  <c r="T2" i="16"/>
  <c r="AJ33" i="2" s="1"/>
  <c r="S2" i="16"/>
  <c r="U33" i="2" s="1"/>
  <c r="AD31" i="2"/>
  <c r="W3" i="16"/>
  <c r="W4" i="16"/>
  <c r="W5" i="16"/>
  <c r="AC37" i="2"/>
  <c r="W6" i="16"/>
  <c r="AH37" i="2" s="1"/>
  <c r="D276" i="10"/>
  <c r="C138" i="10"/>
  <c r="AG39" i="8" s="1"/>
  <c r="AF70" i="2"/>
  <c r="D108" i="10"/>
  <c r="AI9" i="8" s="1"/>
  <c r="C193" i="10"/>
  <c r="AL44" i="8" s="1"/>
  <c r="D163" i="10"/>
  <c r="AN14" i="8" s="1"/>
  <c r="C103" i="10"/>
  <c r="AG4" i="8" s="1"/>
  <c r="C7" i="10"/>
  <c r="W8" i="8" s="1"/>
  <c r="D103" i="10"/>
  <c r="AI4" i="8" s="1"/>
  <c r="C218" i="10"/>
  <c r="D4" i="10"/>
  <c r="Y5" i="8" s="1"/>
  <c r="C249" i="10"/>
  <c r="C256" i="10"/>
  <c r="C78" i="10"/>
  <c r="AB29" i="8" s="1"/>
  <c r="C133" i="10"/>
  <c r="AG34" i="8" s="1"/>
  <c r="D249" i="10"/>
  <c r="C231" i="10"/>
  <c r="J47" i="10"/>
  <c r="C181" i="10"/>
  <c r="AL32" i="8" s="1"/>
  <c r="J20" i="10"/>
  <c r="C151" i="10"/>
  <c r="AG52" i="8" s="1"/>
  <c r="C39" i="10"/>
  <c r="W40" i="8" s="1"/>
  <c r="D151" i="10"/>
  <c r="AI52" i="8" s="1"/>
  <c r="D205" i="10"/>
  <c r="D36" i="10"/>
  <c r="Y37" i="8" s="1"/>
  <c r="C91" i="10"/>
  <c r="AB42" i="8" s="1"/>
  <c r="D236" i="10"/>
  <c r="AN57" i="2"/>
  <c r="D60" i="10"/>
  <c r="AD11" i="8" s="1"/>
  <c r="AK52" i="8"/>
  <c r="AN71" i="2"/>
  <c r="AF52" i="8"/>
  <c r="AF48" i="8"/>
  <c r="AF44" i="8"/>
  <c r="AF40" i="8"/>
  <c r="AK36" i="8"/>
  <c r="V33" i="8"/>
  <c r="V29" i="8"/>
  <c r="V25" i="8"/>
  <c r="V21" i="8"/>
  <c r="V17" i="8"/>
  <c r="AA13" i="8"/>
  <c r="AF9" i="8"/>
  <c r="AF5" i="8"/>
  <c r="D299" i="10"/>
  <c r="D295" i="10"/>
  <c r="D291" i="10"/>
  <c r="D287" i="10"/>
  <c r="D283" i="10"/>
  <c r="D279" i="10"/>
  <c r="D275" i="10"/>
  <c r="D271" i="10"/>
  <c r="D267" i="10"/>
  <c r="D263" i="10"/>
  <c r="D259" i="10"/>
  <c r="D255" i="10"/>
  <c r="D251" i="10"/>
  <c r="AA52" i="8"/>
  <c r="AA48" i="8"/>
  <c r="AA44" i="8"/>
  <c r="AA40" i="8"/>
  <c r="AF36" i="8"/>
  <c r="AK32" i="8"/>
  <c r="AK28" i="8"/>
  <c r="AK24" i="8"/>
  <c r="AK20" i="8"/>
  <c r="AK16" i="8"/>
  <c r="V13" i="8"/>
  <c r="AA9" i="8"/>
  <c r="C299" i="10"/>
  <c r="C295" i="10"/>
  <c r="C291" i="10"/>
  <c r="C287" i="10"/>
  <c r="C283" i="10"/>
  <c r="C279" i="10"/>
  <c r="C275" i="10"/>
  <c r="C271" i="10"/>
  <c r="C267" i="10"/>
  <c r="C263" i="10"/>
  <c r="C259" i="10"/>
  <c r="C255" i="10"/>
  <c r="C251" i="10"/>
  <c r="C247" i="10"/>
  <c r="C243" i="10"/>
  <c r="V52" i="8"/>
  <c r="V48" i="8"/>
  <c r="V44" i="8"/>
  <c r="V40" i="8"/>
  <c r="AA36" i="8"/>
  <c r="AF32" i="8"/>
  <c r="AF28" i="8"/>
  <c r="AF24" i="8"/>
  <c r="AF20" i="8"/>
  <c r="AF16" i="8"/>
  <c r="AK12" i="8"/>
  <c r="V9" i="8"/>
  <c r="AA5" i="8"/>
  <c r="C59" i="10"/>
  <c r="AB10" i="8" s="1"/>
  <c r="D56" i="10"/>
  <c r="AD7" i="8" s="1"/>
  <c r="D50" i="10"/>
  <c r="Y51" i="8" s="1"/>
  <c r="D47" i="10"/>
  <c r="Y48" i="8" s="1"/>
  <c r="C44" i="10"/>
  <c r="W45" i="8" s="1"/>
  <c r="C36" i="10"/>
  <c r="W37" i="8" s="1"/>
  <c r="D27" i="10"/>
  <c r="Y28" i="8" s="1"/>
  <c r="D23" i="10"/>
  <c r="Y24" i="8" s="1"/>
  <c r="D21" i="10"/>
  <c r="Y22" i="8" s="1"/>
  <c r="I15" i="10"/>
  <c r="C4" i="10"/>
  <c r="W5" i="8" s="1"/>
  <c r="AK51" i="8"/>
  <c r="AK47" i="8"/>
  <c r="AK43" i="8"/>
  <c r="AK39" i="8"/>
  <c r="V36" i="8"/>
  <c r="AA32" i="8"/>
  <c r="AA28" i="8"/>
  <c r="AA24" i="8"/>
  <c r="AA20" i="8"/>
  <c r="AA16" i="8"/>
  <c r="AF12" i="8"/>
  <c r="AK8" i="8"/>
  <c r="V5" i="8"/>
  <c r="C56" i="10"/>
  <c r="AB7" i="8" s="1"/>
  <c r="D53" i="10"/>
  <c r="AD4" i="8" s="1"/>
  <c r="C50" i="10"/>
  <c r="W51" i="8" s="1"/>
  <c r="C47" i="10"/>
  <c r="W48" i="8" s="1"/>
  <c r="D32" i="10"/>
  <c r="Y33" i="8" s="1"/>
  <c r="I30" i="10"/>
  <c r="C27" i="10"/>
  <c r="W28" i="8" s="1"/>
  <c r="C23" i="10"/>
  <c r="W24" i="8" s="1"/>
  <c r="C21" i="10"/>
  <c r="W22" i="8" s="1"/>
  <c r="D19" i="10"/>
  <c r="Y20" i="8" s="1"/>
  <c r="D17" i="10"/>
  <c r="Y18" i="8" s="1"/>
  <c r="J13" i="10"/>
  <c r="AF51" i="8"/>
  <c r="AF47" i="8"/>
  <c r="AF43" i="8"/>
  <c r="AF39" i="8"/>
  <c r="AK35" i="8"/>
  <c r="V32" i="8"/>
  <c r="V28" i="8"/>
  <c r="V24" i="8"/>
  <c r="V20" i="8"/>
  <c r="V16" i="8"/>
  <c r="AA12" i="8"/>
  <c r="AF8" i="8"/>
  <c r="AK4" i="8"/>
  <c r="D298" i="10"/>
  <c r="D294" i="10"/>
  <c r="D290" i="10"/>
  <c r="D286" i="10"/>
  <c r="D282" i="10"/>
  <c r="D278" i="10"/>
  <c r="D274" i="10"/>
  <c r="D270" i="10"/>
  <c r="D266" i="10"/>
  <c r="D262" i="10"/>
  <c r="D258" i="10"/>
  <c r="D254" i="10"/>
  <c r="D250" i="10"/>
  <c r="D246" i="10"/>
  <c r="D242" i="10"/>
  <c r="D238" i="10"/>
  <c r="D234" i="10"/>
  <c r="D230" i="10"/>
  <c r="D226" i="10"/>
  <c r="D222" i="10"/>
  <c r="D218" i="10"/>
  <c r="D214" i="10"/>
  <c r="D210" i="10"/>
  <c r="D206" i="10"/>
  <c r="D202" i="10"/>
  <c r="D198" i="10"/>
  <c r="AN49" i="8" s="1"/>
  <c r="D194" i="10"/>
  <c r="AN45" i="8" s="1"/>
  <c r="D190" i="10"/>
  <c r="AN41" i="8" s="1"/>
  <c r="D186" i="10"/>
  <c r="AN37" i="8" s="1"/>
  <c r="D182" i="10"/>
  <c r="AN33" i="8" s="1"/>
  <c r="D178" i="10"/>
  <c r="AN29" i="8" s="1"/>
  <c r="D174" i="10"/>
  <c r="AN25" i="8" s="1"/>
  <c r="D170" i="10"/>
  <c r="AN21" i="8" s="1"/>
  <c r="D166" i="10"/>
  <c r="AN17" i="8" s="1"/>
  <c r="D162" i="10"/>
  <c r="AN13" i="8" s="1"/>
  <c r="D158" i="10"/>
  <c r="AN9" i="8" s="1"/>
  <c r="D154" i="10"/>
  <c r="AN5" i="8" s="1"/>
  <c r="D150" i="10"/>
  <c r="AI51" i="8" s="1"/>
  <c r="D146" i="10"/>
  <c r="AI47" i="8" s="1"/>
  <c r="D142" i="10"/>
  <c r="AI43" i="8" s="1"/>
  <c r="D138" i="10"/>
  <c r="AI39" i="8" s="1"/>
  <c r="D134" i="10"/>
  <c r="AI35" i="8" s="1"/>
  <c r="D130" i="10"/>
  <c r="AI31" i="8" s="1"/>
  <c r="D126" i="10"/>
  <c r="AI27" i="8" s="1"/>
  <c r="D122" i="10"/>
  <c r="AI23" i="8" s="1"/>
  <c r="D118" i="10"/>
  <c r="AI19" i="8" s="1"/>
  <c r="D114" i="10"/>
  <c r="AI15" i="8" s="1"/>
  <c r="D110" i="10"/>
  <c r="AI11" i="8" s="1"/>
  <c r="D106" i="10"/>
  <c r="AI7" i="8" s="1"/>
  <c r="D102" i="10"/>
  <c r="AI3" i="8" s="1"/>
  <c r="D98" i="10"/>
  <c r="AD49" i="8" s="1"/>
  <c r="D94" i="10"/>
  <c r="AD45" i="8" s="1"/>
  <c r="D90" i="10"/>
  <c r="AD41" i="8" s="1"/>
  <c r="D86" i="10"/>
  <c r="AD37" i="8" s="1"/>
  <c r="D82" i="10"/>
  <c r="AD33" i="8" s="1"/>
  <c r="D78" i="10"/>
  <c r="AD29" i="8" s="1"/>
  <c r="D74" i="10"/>
  <c r="AD25" i="8" s="1"/>
  <c r="D70" i="10"/>
  <c r="AD21" i="8" s="1"/>
  <c r="D66" i="10"/>
  <c r="AD17" i="8" s="1"/>
  <c r="D62" i="10"/>
  <c r="AD13" i="8" s="1"/>
  <c r="C53" i="10"/>
  <c r="AB4" i="8" s="1"/>
  <c r="D38" i="10"/>
  <c r="Y39" i="8" s="1"/>
  <c r="C32" i="10"/>
  <c r="W33" i="8" s="1"/>
  <c r="D25" i="10"/>
  <c r="Y26" i="8" s="1"/>
  <c r="C19" i="10"/>
  <c r="W20" i="8" s="1"/>
  <c r="C17" i="10"/>
  <c r="W18" i="8" s="1"/>
  <c r="I13" i="10"/>
  <c r="D9" i="10"/>
  <c r="Y10" i="8" s="1"/>
  <c r="AF71" i="2"/>
  <c r="AF67" i="2"/>
  <c r="AA51" i="8"/>
  <c r="AA47" i="8"/>
  <c r="AA43" i="8"/>
  <c r="AF35" i="8"/>
  <c r="AK31" i="8"/>
  <c r="AK27" i="8"/>
  <c r="AK23" i="8"/>
  <c r="AK19" i="8"/>
  <c r="AK15" i="8"/>
  <c r="V12" i="8"/>
  <c r="AA8" i="8"/>
  <c r="AF4" i="8"/>
  <c r="C298" i="10"/>
  <c r="C294" i="10"/>
  <c r="C290" i="10"/>
  <c r="C286" i="10"/>
  <c r="C282" i="10"/>
  <c r="C278" i="10"/>
  <c r="C274" i="10"/>
  <c r="C270" i="10"/>
  <c r="C266" i="10"/>
  <c r="C262" i="10"/>
  <c r="C258" i="10"/>
  <c r="C254" i="10"/>
  <c r="C250" i="10"/>
  <c r="C246" i="10"/>
  <c r="C242" i="10"/>
  <c r="V51" i="8"/>
  <c r="V47" i="8"/>
  <c r="V43" i="8"/>
  <c r="AA39" i="8"/>
  <c r="AF31" i="8"/>
  <c r="AF27" i="8"/>
  <c r="AF23" i="8"/>
  <c r="AF19" i="8"/>
  <c r="AF15" i="8"/>
  <c r="AK11" i="8"/>
  <c r="V8" i="8"/>
  <c r="AA4" i="8"/>
  <c r="D58" i="10"/>
  <c r="AD9" i="8" s="1"/>
  <c r="D43" i="10"/>
  <c r="Y44" i="8" s="1"/>
  <c r="C40" i="10"/>
  <c r="W41" i="8" s="1"/>
  <c r="D30" i="10"/>
  <c r="Y31" i="8" s="1"/>
  <c r="I28" i="10"/>
  <c r="C15" i="10"/>
  <c r="W16" i="8" s="1"/>
  <c r="C5" i="10"/>
  <c r="W6" i="8" s="1"/>
  <c r="P71" i="2"/>
  <c r="P67" i="2"/>
  <c r="AF61" i="2"/>
  <c r="AF57" i="2"/>
  <c r="X61" i="2"/>
  <c r="AK50" i="8"/>
  <c r="AK46" i="8"/>
  <c r="AK42" i="8"/>
  <c r="V39" i="8"/>
  <c r="AA35" i="8"/>
  <c r="AA31" i="8"/>
  <c r="AA27" i="8"/>
  <c r="AA23" i="8"/>
  <c r="AA19" i="8"/>
  <c r="AF11" i="8"/>
  <c r="AK7" i="8"/>
  <c r="V4" i="8"/>
  <c r="C58" i="10"/>
  <c r="AB9" i="8" s="1"/>
  <c r="D55" i="10"/>
  <c r="AD6" i="8" s="1"/>
  <c r="D49" i="10"/>
  <c r="Y50" i="8" s="1"/>
  <c r="D46" i="10"/>
  <c r="Y47" i="8" s="1"/>
  <c r="C43" i="10"/>
  <c r="W44" i="8" s="1"/>
  <c r="D35" i="10"/>
  <c r="Y36" i="8" s="1"/>
  <c r="C30" i="10"/>
  <c r="W31" i="8" s="1"/>
  <c r="D13" i="10"/>
  <c r="Y14" i="8" s="1"/>
  <c r="AN70" i="2"/>
  <c r="AN66" i="2"/>
  <c r="X57" i="2"/>
  <c r="V50" i="8"/>
  <c r="V46" i="8"/>
  <c r="V42" i="8"/>
  <c r="AA38" i="8"/>
  <c r="AF34" i="8"/>
  <c r="AF30" i="8"/>
  <c r="AF26" i="8"/>
  <c r="AF22" i="8"/>
  <c r="AF18" i="8"/>
  <c r="AK14" i="8"/>
  <c r="V11" i="8"/>
  <c r="V7" i="8"/>
  <c r="AA3" i="8"/>
  <c r="J54" i="10"/>
  <c r="I48" i="10"/>
  <c r="C33" i="10"/>
  <c r="W34" i="8" s="1"/>
  <c r="C28" i="10"/>
  <c r="W29" i="8" s="1"/>
  <c r="D24" i="10"/>
  <c r="Y25" i="8" s="1"/>
  <c r="D22" i="10"/>
  <c r="Y23" i="8" s="1"/>
  <c r="D20" i="10"/>
  <c r="Y21" i="8" s="1"/>
  <c r="C6" i="10"/>
  <c r="W7" i="8" s="1"/>
  <c r="AF50" i="8"/>
  <c r="AK41" i="8"/>
  <c r="AK33" i="8"/>
  <c r="AA25" i="8"/>
  <c r="V15" i="8"/>
  <c r="AF6" i="8"/>
  <c r="C244" i="10"/>
  <c r="D239" i="10"/>
  <c r="C235" i="10"/>
  <c r="C222" i="10"/>
  <c r="D209" i="10"/>
  <c r="C205" i="10"/>
  <c r="D192" i="10"/>
  <c r="AN43" i="8" s="1"/>
  <c r="C188" i="10"/>
  <c r="AL39" i="8" s="1"/>
  <c r="D175" i="10"/>
  <c r="AN26" i="8" s="1"/>
  <c r="C171" i="10"/>
  <c r="AL22" i="8" s="1"/>
  <c r="C158" i="10"/>
  <c r="AL9" i="8" s="1"/>
  <c r="D145" i="10"/>
  <c r="AI46" i="8" s="1"/>
  <c r="C141" i="10"/>
  <c r="AG42" i="8" s="1"/>
  <c r="D128" i="10"/>
  <c r="AI29" i="8" s="1"/>
  <c r="C124" i="10"/>
  <c r="AG25" i="8" s="1"/>
  <c r="D111" i="10"/>
  <c r="AI12" i="8" s="1"/>
  <c r="C107" i="10"/>
  <c r="AG8" i="8" s="1"/>
  <c r="C94" i="10"/>
  <c r="AB45" i="8" s="1"/>
  <c r="D81" i="10"/>
  <c r="AD32" i="8" s="1"/>
  <c r="C77" i="10"/>
  <c r="AB28" i="8" s="1"/>
  <c r="D64" i="10"/>
  <c r="AD15" i="8" s="1"/>
  <c r="C60" i="10"/>
  <c r="AB11" i="8" s="1"/>
  <c r="C45" i="10"/>
  <c r="W46" i="8" s="1"/>
  <c r="D41" i="10"/>
  <c r="Y42" i="8" s="1"/>
  <c r="J38" i="10"/>
  <c r="I14" i="10"/>
  <c r="D12" i="10"/>
  <c r="Y13" i="8" s="1"/>
  <c r="AA50" i="8"/>
  <c r="AF41" i="8"/>
  <c r="AF33" i="8"/>
  <c r="V23" i="8"/>
  <c r="AF14" i="8"/>
  <c r="AA6" i="8"/>
  <c r="C239" i="10"/>
  <c r="C226" i="10"/>
  <c r="D213" i="10"/>
  <c r="C209" i="10"/>
  <c r="D196" i="10"/>
  <c r="AN47" i="8" s="1"/>
  <c r="C192" i="10"/>
  <c r="AL43" i="8" s="1"/>
  <c r="D179" i="10"/>
  <c r="AN30" i="8" s="1"/>
  <c r="C175" i="10"/>
  <c r="AL26" i="8" s="1"/>
  <c r="C162" i="10"/>
  <c r="AL13" i="8" s="1"/>
  <c r="D149" i="10"/>
  <c r="AI50" i="8" s="1"/>
  <c r="C145" i="10"/>
  <c r="AG46" i="8" s="1"/>
  <c r="D132" i="10"/>
  <c r="AI33" i="8" s="1"/>
  <c r="C128" i="10"/>
  <c r="AG29" i="8" s="1"/>
  <c r="D115" i="10"/>
  <c r="AI16" i="8" s="1"/>
  <c r="C111" i="10"/>
  <c r="AG12" i="8" s="1"/>
  <c r="C98" i="10"/>
  <c r="AB49" i="8" s="1"/>
  <c r="D85" i="10"/>
  <c r="AD36" i="8" s="1"/>
  <c r="C81" i="10"/>
  <c r="AB32" i="8" s="1"/>
  <c r="D68" i="10"/>
  <c r="AD19" i="8" s="1"/>
  <c r="C64" i="10"/>
  <c r="AB15" i="8" s="1"/>
  <c r="C41" i="10"/>
  <c r="W42" i="8" s="1"/>
  <c r="C12" i="10"/>
  <c r="W13" i="8" s="1"/>
  <c r="C8" i="10"/>
  <c r="W9" i="8" s="1"/>
  <c r="X71" i="2"/>
  <c r="AF65" i="2"/>
  <c r="P60" i="2"/>
  <c r="D52" i="10"/>
  <c r="AD3" i="8" s="1"/>
  <c r="AK49" i="8"/>
  <c r="AA41" i="8"/>
  <c r="AA33" i="8"/>
  <c r="AK22" i="8"/>
  <c r="AA14" i="8"/>
  <c r="V6" i="8"/>
  <c r="D301" i="10"/>
  <c r="D296" i="10"/>
  <c r="D285" i="10"/>
  <c r="D280" i="10"/>
  <c r="D269" i="10"/>
  <c r="D264" i="10"/>
  <c r="D253" i="10"/>
  <c r="D248" i="10"/>
  <c r="C230" i="10"/>
  <c r="D217" i="10"/>
  <c r="C213" i="10"/>
  <c r="D200" i="10"/>
  <c r="AN51" i="8" s="1"/>
  <c r="C196" i="10"/>
  <c r="AL47" i="8" s="1"/>
  <c r="D183" i="10"/>
  <c r="AN34" i="8" s="1"/>
  <c r="C179" i="10"/>
  <c r="AL30" i="8" s="1"/>
  <c r="C166" i="10"/>
  <c r="AL17" i="8" s="1"/>
  <c r="D153" i="10"/>
  <c r="AN4" i="8" s="1"/>
  <c r="C149" i="10"/>
  <c r="AG50" i="8" s="1"/>
  <c r="D136" i="10"/>
  <c r="AI37" i="8" s="1"/>
  <c r="C132" i="10"/>
  <c r="AG33" i="8" s="1"/>
  <c r="D119" i="10"/>
  <c r="AI20" i="8" s="1"/>
  <c r="C115" i="10"/>
  <c r="AG16" i="8" s="1"/>
  <c r="C102" i="10"/>
  <c r="AG3" i="8" s="1"/>
  <c r="D89" i="10"/>
  <c r="AD40" i="8" s="1"/>
  <c r="C85" i="10"/>
  <c r="AB36" i="8" s="1"/>
  <c r="D72" i="10"/>
  <c r="AD23" i="8" s="1"/>
  <c r="C68" i="10"/>
  <c r="AB19" i="8" s="1"/>
  <c r="AF49" i="8"/>
  <c r="V41" i="8"/>
  <c r="V31" i="8"/>
  <c r="AA22" i="8"/>
  <c r="V14" i="8"/>
  <c r="AK5" i="8"/>
  <c r="C301" i="10"/>
  <c r="C296" i="10"/>
  <c r="C285" i="10"/>
  <c r="C280" i="10"/>
  <c r="C269" i="10"/>
  <c r="C264" i="10"/>
  <c r="C253" i="10"/>
  <c r="C248" i="10"/>
  <c r="D243" i="10"/>
  <c r="C234" i="10"/>
  <c r="D221" i="10"/>
  <c r="C217" i="10"/>
  <c r="D204" i="10"/>
  <c r="C200" i="10"/>
  <c r="AL51" i="8" s="1"/>
  <c r="D187" i="10"/>
  <c r="AN38" i="8" s="1"/>
  <c r="C183" i="10"/>
  <c r="AL34" i="8" s="1"/>
  <c r="C170" i="10"/>
  <c r="AL21" i="8" s="1"/>
  <c r="D157" i="10"/>
  <c r="AN8" i="8" s="1"/>
  <c r="C153" i="10"/>
  <c r="AL4" i="8" s="1"/>
  <c r="D140" i="10"/>
  <c r="AI41" i="8" s="1"/>
  <c r="C136" i="10"/>
  <c r="AG37" i="8" s="1"/>
  <c r="D123" i="10"/>
  <c r="AI24" i="8" s="1"/>
  <c r="C119" i="10"/>
  <c r="AG20" i="8" s="1"/>
  <c r="C106" i="10"/>
  <c r="AG7" i="8" s="1"/>
  <c r="D93" i="10"/>
  <c r="AD44" i="8" s="1"/>
  <c r="C89" i="10"/>
  <c r="AB40" i="8" s="1"/>
  <c r="D76" i="10"/>
  <c r="AD27" i="8" s="1"/>
  <c r="C72" i="10"/>
  <c r="AB23" i="8" s="1"/>
  <c r="AA49" i="8"/>
  <c r="AK40" i="8"/>
  <c r="AK30" i="8"/>
  <c r="V22" i="8"/>
  <c r="AK13" i="8"/>
  <c r="AK3" i="8"/>
  <c r="C238" i="10"/>
  <c r="D225" i="10"/>
  <c r="C221" i="10"/>
  <c r="D208" i="10"/>
  <c r="C204" i="10"/>
  <c r="D191" i="10"/>
  <c r="AN42" i="8" s="1"/>
  <c r="C187" i="10"/>
  <c r="AL38" i="8" s="1"/>
  <c r="C174" i="10"/>
  <c r="AL25" i="8" s="1"/>
  <c r="D161" i="10"/>
  <c r="AN12" i="8" s="1"/>
  <c r="C157" i="10"/>
  <c r="AL8" i="8" s="1"/>
  <c r="D144" i="10"/>
  <c r="AI45" i="8" s="1"/>
  <c r="C140" i="10"/>
  <c r="AG41" i="8" s="1"/>
  <c r="D127" i="10"/>
  <c r="AI28" i="8" s="1"/>
  <c r="C123" i="10"/>
  <c r="AG24" i="8" s="1"/>
  <c r="C110" i="10"/>
  <c r="AG11" i="8" s="1"/>
  <c r="D97" i="10"/>
  <c r="AD48" i="8" s="1"/>
  <c r="C93" i="10"/>
  <c r="AB44" i="8" s="1"/>
  <c r="D80" i="10"/>
  <c r="AD31" i="8" s="1"/>
  <c r="C76" i="10"/>
  <c r="AB27" i="8" s="1"/>
  <c r="D63" i="10"/>
  <c r="AD14" i="8" s="1"/>
  <c r="D59" i="10"/>
  <c r="AD10" i="8" s="1"/>
  <c r="C48" i="10"/>
  <c r="W49" i="8" s="1"/>
  <c r="D44" i="10"/>
  <c r="Y45" i="8" s="1"/>
  <c r="C35" i="10"/>
  <c r="W36" i="8" s="1"/>
  <c r="C18" i="10"/>
  <c r="W19" i="8" s="1"/>
  <c r="C14" i="10"/>
  <c r="W15" i="8" s="1"/>
  <c r="D5" i="10"/>
  <c r="Y6" i="8" s="1"/>
  <c r="V49" i="8"/>
  <c r="AK38" i="8"/>
  <c r="AA30" i="8"/>
  <c r="AK21" i="8"/>
  <c r="AF13" i="8"/>
  <c r="AF3" i="8"/>
  <c r="D229" i="10"/>
  <c r="C225" i="10"/>
  <c r="D212" i="10"/>
  <c r="C208" i="10"/>
  <c r="D195" i="10"/>
  <c r="AN46" i="8" s="1"/>
  <c r="C191" i="10"/>
  <c r="AL42" i="8" s="1"/>
  <c r="C178" i="10"/>
  <c r="AL29" i="8" s="1"/>
  <c r="D165" i="10"/>
  <c r="AN16" i="8" s="1"/>
  <c r="C161" i="10"/>
  <c r="AL12" i="8" s="1"/>
  <c r="D148" i="10"/>
  <c r="AI49" i="8" s="1"/>
  <c r="C144" i="10"/>
  <c r="AG45" i="8" s="1"/>
  <c r="D131" i="10"/>
  <c r="AI32" i="8" s="1"/>
  <c r="C127" i="10"/>
  <c r="AG28" i="8" s="1"/>
  <c r="C114" i="10"/>
  <c r="AG15" i="8" s="1"/>
  <c r="D101" i="10"/>
  <c r="AD52" i="8" s="1"/>
  <c r="C97" i="10"/>
  <c r="AB48" i="8" s="1"/>
  <c r="D84" i="10"/>
  <c r="AD35" i="8" s="1"/>
  <c r="C80" i="10"/>
  <c r="AB31" i="8" s="1"/>
  <c r="D67" i="10"/>
  <c r="AD18" i="8" s="1"/>
  <c r="C63" i="10"/>
  <c r="AB14" i="8" s="1"/>
  <c r="C55" i="10"/>
  <c r="AB6" i="8" s="1"/>
  <c r="D40" i="10"/>
  <c r="Y41" i="8" s="1"/>
  <c r="D33" i="10"/>
  <c r="Y34" i="8" s="1"/>
  <c r="D31" i="10"/>
  <c r="Y32" i="8" s="1"/>
  <c r="D29" i="10"/>
  <c r="Y30" i="8" s="1"/>
  <c r="C20" i="10"/>
  <c r="W21" i="8" s="1"/>
  <c r="C9" i="10"/>
  <c r="W10" i="8" s="1"/>
  <c r="AK48" i="8"/>
  <c r="AF38" i="8"/>
  <c r="V30" i="8"/>
  <c r="AF21" i="8"/>
  <c r="V3" i="8"/>
  <c r="D300" i="10"/>
  <c r="D289" i="10"/>
  <c r="D284" i="10"/>
  <c r="D273" i="10"/>
  <c r="D268" i="10"/>
  <c r="D257" i="10"/>
  <c r="D252" i="10"/>
  <c r="D247" i="10"/>
  <c r="D233" i="10"/>
  <c r="C229" i="10"/>
  <c r="D216" i="10"/>
  <c r="C212" i="10"/>
  <c r="D199" i="10"/>
  <c r="AN50" i="8" s="1"/>
  <c r="C195" i="10"/>
  <c r="AL46" i="8" s="1"/>
  <c r="C182" i="10"/>
  <c r="AL33" i="8" s="1"/>
  <c r="D169" i="10"/>
  <c r="AN20" i="8" s="1"/>
  <c r="C165" i="10"/>
  <c r="AL16" i="8" s="1"/>
  <c r="D152" i="10"/>
  <c r="AN3" i="8" s="1"/>
  <c r="C148" i="10"/>
  <c r="AG49" i="8" s="1"/>
  <c r="D135" i="10"/>
  <c r="AI36" i="8" s="1"/>
  <c r="C131" i="10"/>
  <c r="AG32" i="8" s="1"/>
  <c r="C118" i="10"/>
  <c r="AG19" i="8" s="1"/>
  <c r="D105" i="10"/>
  <c r="AI6" i="8" s="1"/>
  <c r="C101" i="10"/>
  <c r="AB52" i="8" s="1"/>
  <c r="D88" i="10"/>
  <c r="AD39" i="8" s="1"/>
  <c r="C84" i="10"/>
  <c r="AB35" i="8" s="1"/>
  <c r="D71" i="10"/>
  <c r="AD22" i="8" s="1"/>
  <c r="C67" i="10"/>
  <c r="AB18" i="8" s="1"/>
  <c r="AF46" i="8"/>
  <c r="V38" i="8"/>
  <c r="AK29" i="8"/>
  <c r="AA21" i="8"/>
  <c r="AA11" i="8"/>
  <c r="C300" i="10"/>
  <c r="C289" i="10"/>
  <c r="C284" i="10"/>
  <c r="C273" i="10"/>
  <c r="C268" i="10"/>
  <c r="C257" i="10"/>
  <c r="C252" i="10"/>
  <c r="D237" i="10"/>
  <c r="C233" i="10"/>
  <c r="D220" i="10"/>
  <c r="C216" i="10"/>
  <c r="D203" i="10"/>
  <c r="C199" i="10"/>
  <c r="AL50" i="8" s="1"/>
  <c r="C186" i="10"/>
  <c r="AL37" i="8" s="1"/>
  <c r="D173" i="10"/>
  <c r="AN24" i="8" s="1"/>
  <c r="C169" i="10"/>
  <c r="AL20" i="8" s="1"/>
  <c r="D156" i="10"/>
  <c r="AN7" i="8" s="1"/>
  <c r="C152" i="10"/>
  <c r="AL3" i="8" s="1"/>
  <c r="D139" i="10"/>
  <c r="AI40" i="8" s="1"/>
  <c r="C135" i="10"/>
  <c r="AG36" i="8" s="1"/>
  <c r="C122" i="10"/>
  <c r="AG23" i="8" s="1"/>
  <c r="D109" i="10"/>
  <c r="AI10" i="8" s="1"/>
  <c r="C105" i="10"/>
  <c r="AG6" i="8" s="1"/>
  <c r="D92" i="10"/>
  <c r="AD43" i="8" s="1"/>
  <c r="C88" i="10"/>
  <c r="AB39" i="8" s="1"/>
  <c r="D75" i="10"/>
  <c r="AD26" i="8" s="1"/>
  <c r="C71" i="10"/>
  <c r="AB22" i="8" s="1"/>
  <c r="I54" i="10"/>
  <c r="AA46" i="8"/>
  <c r="AK37" i="8"/>
  <c r="AF29" i="8"/>
  <c r="V19" i="8"/>
  <c r="AK10" i="8"/>
  <c r="D241" i="10"/>
  <c r="C237" i="10"/>
  <c r="D224" i="10"/>
  <c r="C220" i="10"/>
  <c r="D207" i="10"/>
  <c r="C203" i="10"/>
  <c r="C190" i="10"/>
  <c r="AL41" i="8" s="1"/>
  <c r="D177" i="10"/>
  <c r="AN28" i="8" s="1"/>
  <c r="C173" i="10"/>
  <c r="AL24" i="8" s="1"/>
  <c r="D160" i="10"/>
  <c r="AN11" i="8" s="1"/>
  <c r="C156" i="10"/>
  <c r="AL7" i="8" s="1"/>
  <c r="D143" i="10"/>
  <c r="AI44" i="8" s="1"/>
  <c r="C139" i="10"/>
  <c r="AG40" i="8" s="1"/>
  <c r="C126" i="10"/>
  <c r="AG27" i="8" s="1"/>
  <c r="D113" i="10"/>
  <c r="AI14" i="8" s="1"/>
  <c r="C109" i="10"/>
  <c r="AG10" i="8" s="1"/>
  <c r="D96" i="10"/>
  <c r="AD47" i="8" s="1"/>
  <c r="C92" i="10"/>
  <c r="AB43" i="8" s="1"/>
  <c r="D79" i="10"/>
  <c r="AD30" i="8" s="1"/>
  <c r="C75" i="10"/>
  <c r="AB26" i="8" s="1"/>
  <c r="C62" i="10"/>
  <c r="AB13" i="8" s="1"/>
  <c r="C51" i="10"/>
  <c r="W52" i="8" s="1"/>
  <c r="I39" i="10"/>
  <c r="C22" i="10"/>
  <c r="W23" i="8" s="1"/>
  <c r="P69" i="2"/>
  <c r="AN62" i="2"/>
  <c r="X58" i="2"/>
  <c r="AK45" i="8"/>
  <c r="AF37" i="8"/>
  <c r="AA29" i="8"/>
  <c r="AK18" i="8"/>
  <c r="AF10" i="8"/>
  <c r="C241" i="10"/>
  <c r="D228" i="10"/>
  <c r="C224" i="10"/>
  <c r="D211" i="10"/>
  <c r="C207" i="10"/>
  <c r="C194" i="10"/>
  <c r="AL45" i="8" s="1"/>
  <c r="D181" i="10"/>
  <c r="AN32" i="8" s="1"/>
  <c r="C177" i="10"/>
  <c r="AL28" i="8" s="1"/>
  <c r="D164" i="10"/>
  <c r="AN15" i="8" s="1"/>
  <c r="C160" i="10"/>
  <c r="AL11" i="8" s="1"/>
  <c r="D147" i="10"/>
  <c r="AI48" i="8" s="1"/>
  <c r="C143" i="10"/>
  <c r="AG44" i="8" s="1"/>
  <c r="C130" i="10"/>
  <c r="AG31" i="8" s="1"/>
  <c r="D117" i="10"/>
  <c r="AI18" i="8" s="1"/>
  <c r="C113" i="10"/>
  <c r="AG14" i="8" s="1"/>
  <c r="D100" i="10"/>
  <c r="AD51" i="8" s="1"/>
  <c r="C96" i="10"/>
  <c r="AB47" i="8" s="1"/>
  <c r="D83" i="10"/>
  <c r="AD34" i="8" s="1"/>
  <c r="C79" i="10"/>
  <c r="AB30" i="8" s="1"/>
  <c r="C66" i="10"/>
  <c r="AB17" i="8" s="1"/>
  <c r="J57" i="10"/>
  <c r="D37" i="10"/>
  <c r="Y38" i="8" s="1"/>
  <c r="C13" i="10"/>
  <c r="W14" i="8" s="1"/>
  <c r="D10" i="10"/>
  <c r="Y11" i="8" s="1"/>
  <c r="D6" i="10"/>
  <c r="Y7" i="8" s="1"/>
  <c r="B79" i="2"/>
  <c r="AN68" i="2"/>
  <c r="AF62" i="2"/>
  <c r="P58" i="2"/>
  <c r="AF45" i="8"/>
  <c r="AA37" i="8"/>
  <c r="V27" i="8"/>
  <c r="AA18" i="8"/>
  <c r="AA10" i="8"/>
  <c r="D293" i="10"/>
  <c r="D288" i="10"/>
  <c r="D277" i="10"/>
  <c r="D272" i="10"/>
  <c r="D261" i="10"/>
  <c r="D256" i="10"/>
  <c r="D232" i="10"/>
  <c r="C228" i="10"/>
  <c r="D215" i="10"/>
  <c r="C211" i="10"/>
  <c r="C10" i="10"/>
  <c r="W11" i="8" s="1"/>
  <c r="D18" i="10"/>
  <c r="Y19" i="8" s="1"/>
  <c r="C52" i="10"/>
  <c r="AB3" i="8" s="1"/>
  <c r="D231" i="10"/>
  <c r="P59" i="2"/>
  <c r="C34" i="10"/>
  <c r="W35" i="8" s="1"/>
  <c r="D73" i="10"/>
  <c r="AD24" i="8" s="1"/>
  <c r="C86" i="10"/>
  <c r="AB37" i="8" s="1"/>
  <c r="C277" i="10"/>
  <c r="V26" i="8"/>
  <c r="X59" i="2"/>
  <c r="B77" i="2"/>
  <c r="D61" i="10"/>
  <c r="AD12" i="8" s="1"/>
  <c r="D219" i="10"/>
  <c r="C3" i="10"/>
  <c r="W4" i="8" s="1"/>
  <c r="C37" i="10"/>
  <c r="W38" i="8" s="1"/>
  <c r="C57" i="10"/>
  <c r="AB8" i="8" s="1"/>
  <c r="D104" i="10"/>
  <c r="AI5" i="8" s="1"/>
  <c r="C292" i="10"/>
  <c r="AK26" i="8"/>
  <c r="AN59" i="2"/>
  <c r="D3" i="10"/>
  <c r="Y4" i="8" s="1"/>
  <c r="D26" i="10"/>
  <c r="Y27" i="8" s="1"/>
  <c r="I32" i="10"/>
  <c r="J34" i="10"/>
  <c r="I44" i="10"/>
  <c r="D57" i="10"/>
  <c r="AD8" i="8" s="1"/>
  <c r="C74" i="10"/>
  <c r="AB25" i="8" s="1"/>
  <c r="C87" i="10"/>
  <c r="AB38" i="8" s="1"/>
  <c r="D99" i="10"/>
  <c r="AD50" i="8" s="1"/>
  <c r="C147" i="10"/>
  <c r="AG48" i="8" s="1"/>
  <c r="D159" i="10"/>
  <c r="AN10" i="8" s="1"/>
  <c r="D171" i="10"/>
  <c r="AN22" i="8" s="1"/>
  <c r="C201" i="10"/>
  <c r="AL52" i="8" s="1"/>
  <c r="C214" i="10"/>
  <c r="C245" i="10"/>
  <c r="C265" i="10"/>
  <c r="C272" i="10"/>
  <c r="D292" i="10"/>
  <c r="V34" i="8"/>
  <c r="X60" i="2"/>
  <c r="AN67" i="2"/>
  <c r="J14" i="10"/>
  <c r="I16" i="10"/>
  <c r="J21" i="10"/>
  <c r="I37" i="10"/>
  <c r="C49" i="10"/>
  <c r="W50" i="8" s="1"/>
  <c r="J53" i="10"/>
  <c r="C69" i="10"/>
  <c r="AB20" i="8" s="1"/>
  <c r="D87" i="10"/>
  <c r="AD38" i="8" s="1"/>
  <c r="C117" i="10"/>
  <c r="AG18" i="8" s="1"/>
  <c r="C129" i="10"/>
  <c r="AG30" i="8" s="1"/>
  <c r="D141" i="10"/>
  <c r="AI42" i="8" s="1"/>
  <c r="C189" i="10"/>
  <c r="AL40" i="8" s="1"/>
  <c r="D201" i="10"/>
  <c r="AN52" i="8" s="1"/>
  <c r="C227" i="10"/>
  <c r="D245" i="10"/>
  <c r="D265" i="10"/>
  <c r="AK6" i="8"/>
  <c r="AA34" i="8"/>
  <c r="AF64" i="2"/>
  <c r="C121" i="10"/>
  <c r="AG22" i="8" s="1"/>
  <c r="I75" i="2"/>
  <c r="D121" i="10"/>
  <c r="AI22" i="8" s="1"/>
  <c r="D176" i="10"/>
  <c r="AN27" i="8" s="1"/>
  <c r="C26" i="10"/>
  <c r="W27" i="8" s="1"/>
  <c r="C134" i="10"/>
  <c r="AG35" i="8" s="1"/>
  <c r="L77" i="2"/>
  <c r="J26" i="10"/>
  <c r="D45" i="10"/>
  <c r="Y46" i="8" s="1"/>
  <c r="D69" i="10"/>
  <c r="AD20" i="8" s="1"/>
  <c r="D129" i="10"/>
  <c r="AI30" i="8" s="1"/>
  <c r="C154" i="10"/>
  <c r="AL5" i="8" s="1"/>
  <c r="C184" i="10"/>
  <c r="AL35" i="8" s="1"/>
  <c r="D189" i="10"/>
  <c r="AN40" i="8" s="1"/>
  <c r="D227" i="10"/>
  <c r="AA7" i="8"/>
  <c r="AK34" i="8"/>
  <c r="J36" i="10"/>
  <c r="C16" i="10"/>
  <c r="W17" i="8" s="1"/>
  <c r="D297" i="10"/>
  <c r="D34" i="10"/>
  <c r="Y35" i="8" s="1"/>
  <c r="AF66" i="2"/>
  <c r="C99" i="10"/>
  <c r="AB50" i="8" s="1"/>
  <c r="X67" i="2"/>
  <c r="P68" i="2"/>
  <c r="X68" i="2"/>
  <c r="I49" i="10"/>
  <c r="C54" i="10"/>
  <c r="AB5" i="8" s="1"/>
  <c r="C82" i="10"/>
  <c r="AB33" i="8" s="1"/>
  <c r="C100" i="10"/>
  <c r="AB51" i="8" s="1"/>
  <c r="C112" i="10"/>
  <c r="AG13" i="8" s="1"/>
  <c r="C172" i="10"/>
  <c r="AL23" i="8" s="1"/>
  <c r="D184" i="10"/>
  <c r="AN35" i="8" s="1"/>
  <c r="C215" i="10"/>
  <c r="C240" i="10"/>
  <c r="C260" i="10"/>
  <c r="C293" i="10"/>
  <c r="AF7" i="8"/>
  <c r="V35" i="8"/>
  <c r="D7" i="10"/>
  <c r="Y8" i="8" s="1"/>
  <c r="C297" i="10"/>
  <c r="C61" i="10"/>
  <c r="AB12" i="8" s="1"/>
  <c r="D244" i="10"/>
  <c r="D116" i="10"/>
  <c r="AI17" i="8" s="1"/>
  <c r="J32" i="10"/>
  <c r="C232" i="10"/>
  <c r="C24" i="10"/>
  <c r="W25" i="8" s="1"/>
  <c r="P61" i="2"/>
  <c r="AF68" i="2"/>
  <c r="I19" i="10"/>
  <c r="D54" i="10"/>
  <c r="AD5" i="8" s="1"/>
  <c r="D112" i="10"/>
  <c r="AI13" i="8" s="1"/>
  <c r="D124" i="10"/>
  <c r="AI25" i="8" s="1"/>
  <c r="C142" i="10"/>
  <c r="AG43" i="8" s="1"/>
  <c r="C167" i="10"/>
  <c r="AL18" i="8" s="1"/>
  <c r="D172" i="10"/>
  <c r="AN23" i="8" s="1"/>
  <c r="C202" i="10"/>
  <c r="D240" i="10"/>
  <c r="D260" i="10"/>
  <c r="AK9" i="8"/>
  <c r="V37" i="8"/>
  <c r="C73" i="10"/>
  <c r="AB24" i="8" s="1"/>
  <c r="J4" i="10"/>
  <c r="C176" i="10"/>
  <c r="AL27" i="8" s="1"/>
  <c r="D14" i="10"/>
  <c r="Y15" i="8" s="1"/>
  <c r="D28" i="10"/>
  <c r="Y29" i="8" s="1"/>
  <c r="C159" i="10"/>
  <c r="AL10" i="8" s="1"/>
  <c r="AF60" i="2"/>
  <c r="AN60" i="2"/>
  <c r="D2" i="10"/>
  <c r="Y3" i="8" s="1"/>
  <c r="P56" i="2"/>
  <c r="AN61" i="2"/>
  <c r="X69" i="2"/>
  <c r="J19" i="10"/>
  <c r="C38" i="10"/>
  <c r="W39" i="8" s="1"/>
  <c r="C70" i="10"/>
  <c r="AB21" i="8" s="1"/>
  <c r="C95" i="10"/>
  <c r="AB46" i="8" s="1"/>
  <c r="C155" i="10"/>
  <c r="AL6" i="8" s="1"/>
  <c r="D167" i="10"/>
  <c r="AN18" i="8" s="1"/>
  <c r="C197" i="10"/>
  <c r="AL48" i="8" s="1"/>
  <c r="V10" i="8"/>
  <c r="AA42" i="8"/>
  <c r="AF58" i="2"/>
  <c r="R74" i="2"/>
  <c r="D133" i="10"/>
  <c r="AI34" i="8" s="1"/>
  <c r="D48" i="10"/>
  <c r="Y49" i="8" s="1"/>
  <c r="C164" i="10"/>
  <c r="AL15" i="8" s="1"/>
  <c r="D188" i="10"/>
  <c r="AN39" i="8" s="1"/>
  <c r="AF59" i="2"/>
  <c r="P62" i="2"/>
  <c r="AF69" i="2"/>
  <c r="I12" i="10"/>
  <c r="D15" i="10"/>
  <c r="Y16" i="8" s="1"/>
  <c r="C31" i="10"/>
  <c r="W32" i="8" s="1"/>
  <c r="C46" i="10"/>
  <c r="W47" i="8" s="1"/>
  <c r="C83" i="10"/>
  <c r="AB34" i="8" s="1"/>
  <c r="D95" i="10"/>
  <c r="AD46" i="8" s="1"/>
  <c r="D107" i="10"/>
  <c r="AI8" i="8" s="1"/>
  <c r="C137" i="10"/>
  <c r="AG38" i="8" s="1"/>
  <c r="D155" i="10"/>
  <c r="AN6" i="8" s="1"/>
  <c r="C185" i="10"/>
  <c r="AL36" i="8" s="1"/>
  <c r="D197" i="10"/>
  <c r="AN48" i="8" s="1"/>
  <c r="D235" i="10"/>
  <c r="C281" i="10"/>
  <c r="C288" i="10"/>
  <c r="AA15" i="8"/>
  <c r="AF42" i="8"/>
  <c r="AN63" i="2"/>
  <c r="D39" i="10"/>
  <c r="Y40" i="8" s="1"/>
  <c r="AK25" i="8"/>
  <c r="C116" i="10"/>
  <c r="AG17" i="8" s="1"/>
  <c r="AN65" i="2"/>
  <c r="C206" i="10"/>
  <c r="X56" i="2"/>
  <c r="AN69" i="2"/>
  <c r="J12" i="10"/>
  <c r="C29" i="10"/>
  <c r="W30" i="8" s="1"/>
  <c r="J35" i="10"/>
  <c r="C42" i="10"/>
  <c r="W43" i="8" s="1"/>
  <c r="C65" i="10"/>
  <c r="AB16" i="8" s="1"/>
  <c r="D77" i="10"/>
  <c r="AD28" i="8" s="1"/>
  <c r="C125" i="10"/>
  <c r="AG26" i="8" s="1"/>
  <c r="D137" i="10"/>
  <c r="AI38" i="8" s="1"/>
  <c r="C150" i="10"/>
  <c r="AG51" i="8" s="1"/>
  <c r="C180" i="10"/>
  <c r="AL31" i="8" s="1"/>
  <c r="D185" i="10"/>
  <c r="AN36" i="8" s="1"/>
  <c r="C210" i="10"/>
  <c r="C223" i="10"/>
  <c r="C261" i="10"/>
  <c r="D281" i="10"/>
  <c r="AA17" i="8"/>
  <c r="AK44" i="8"/>
  <c r="AN58" i="2"/>
  <c r="D91" i="10"/>
  <c r="AD42" i="8" s="1"/>
  <c r="AN64" i="2"/>
  <c r="C146" i="10"/>
  <c r="AG47" i="8" s="1"/>
  <c r="C104" i="10"/>
  <c r="AG5" i="8" s="1"/>
  <c r="AA26" i="8"/>
  <c r="AF56" i="2"/>
  <c r="D8" i="10"/>
  <c r="Y9" i="8" s="1"/>
  <c r="I22" i="10"/>
  <c r="P63" i="2"/>
  <c r="P70" i="2"/>
  <c r="D11" i="10"/>
  <c r="Y12" i="8" s="1"/>
  <c r="D42" i="10"/>
  <c r="Y43" i="8" s="1"/>
  <c r="D51" i="10"/>
  <c r="Y52" i="8" s="1"/>
  <c r="D65" i="10"/>
  <c r="AD16" i="8" s="1"/>
  <c r="C90" i="10"/>
  <c r="AB41" i="8" s="1"/>
  <c r="C120" i="10"/>
  <c r="AG21" i="8" s="1"/>
  <c r="D125" i="10"/>
  <c r="AI26" i="8" s="1"/>
  <c r="C168" i="10"/>
  <c r="AL19" i="8" s="1"/>
  <c r="D180" i="10"/>
  <c r="AN31" i="8" s="1"/>
  <c r="D223" i="10"/>
  <c r="AF17" i="8"/>
  <c r="V45" i="8"/>
  <c r="D193" i="10"/>
  <c r="AN44" i="8" s="1"/>
  <c r="I56" i="10"/>
  <c r="C219" i="10"/>
  <c r="D16" i="10"/>
  <c r="Y17" i="8" s="1"/>
  <c r="G77" i="2"/>
  <c r="X62" i="2"/>
  <c r="C11" i="10"/>
  <c r="W12" i="8" s="1"/>
  <c r="C25" i="10"/>
  <c r="W26" i="8" s="1"/>
  <c r="AN56" i="2"/>
  <c r="P57" i="2"/>
  <c r="X63" i="2"/>
  <c r="X70" i="2"/>
  <c r="I8" i="10"/>
  <c r="J29" i="10"/>
  <c r="J55" i="10"/>
  <c r="C108" i="10"/>
  <c r="AG9" i="8" s="1"/>
  <c r="D120" i="10"/>
  <c r="AI21" i="8" s="1"/>
  <c r="C163" i="10"/>
  <c r="AL14" i="8" s="1"/>
  <c r="D168" i="10"/>
  <c r="AN19" i="8" s="1"/>
  <c r="C198" i="10"/>
  <c r="AL49" i="8" s="1"/>
  <c r="C236" i="10"/>
  <c r="C276" i="10"/>
  <c r="AK17" i="8"/>
  <c r="AA45" i="8"/>
  <c r="I17" i="10"/>
  <c r="J24" i="10"/>
  <c r="J46" i="10"/>
  <c r="J3" i="10"/>
  <c r="J51" i="10"/>
  <c r="I27" i="10"/>
  <c r="J59" i="10"/>
  <c r="J48" i="10"/>
  <c r="J56" i="10"/>
  <c r="C2" i="10"/>
  <c r="W3" i="8" s="1"/>
  <c r="J16" i="10"/>
  <c r="I31" i="10"/>
  <c r="J39" i="10"/>
  <c r="J45" i="10"/>
  <c r="I57" i="10"/>
  <c r="I2" i="10"/>
  <c r="I6" i="10"/>
  <c r="J28" i="10"/>
  <c r="I33" i="10"/>
  <c r="I10" i="10"/>
  <c r="I52" i="10"/>
  <c r="J30" i="10"/>
  <c r="J43" i="10"/>
  <c r="J5" i="10"/>
  <c r="J15" i="10"/>
  <c r="J9" i="10"/>
  <c r="J25" i="10"/>
  <c r="I38" i="10"/>
  <c r="R13" i="2"/>
  <c r="Q30" i="16" s="1"/>
  <c r="T13" i="2"/>
  <c r="O52" i="2"/>
  <c r="R52" i="2"/>
  <c r="BI1" i="18"/>
  <c r="AF7" i="18"/>
  <c r="BF7" i="2" s="1"/>
  <c r="Q22" i="2" s="1"/>
  <c r="U16" i="18"/>
  <c r="I2" i="26"/>
  <c r="E12" i="17" s="1"/>
  <c r="J2" i="26"/>
  <c r="E13" i="17" s="1"/>
  <c r="K2" i="26"/>
  <c r="E14" i="17" s="1"/>
  <c r="L2" i="26"/>
  <c r="E15" i="17" s="1"/>
  <c r="M2" i="26"/>
  <c r="S3" i="17" s="1"/>
  <c r="Y3" i="18"/>
  <c r="Y4" i="18"/>
  <c r="AA6" i="18"/>
  <c r="AI5" i="18"/>
  <c r="Y10" i="18"/>
  <c r="J2" i="10"/>
  <c r="J17" i="10"/>
  <c r="I34" i="10"/>
  <c r="I36" i="10"/>
  <c r="J10" i="10"/>
  <c r="I24" i="10"/>
  <c r="I26" i="10"/>
  <c r="AA21" i="16"/>
  <c r="Y2" i="18"/>
  <c r="BO2" i="18"/>
  <c r="I46" i="10"/>
  <c r="BQ2" i="18"/>
  <c r="BL6" i="18" s="1"/>
  <c r="Y8" i="18"/>
  <c r="AA13" i="18"/>
  <c r="AG6" i="27"/>
  <c r="I9" i="10"/>
  <c r="J49" i="10"/>
  <c r="Y3" i="16"/>
  <c r="T37" i="16"/>
  <c r="T25" i="16"/>
  <c r="T31" i="16"/>
  <c r="T21" i="16"/>
  <c r="Y21" i="16" s="1"/>
  <c r="AG31" i="2" s="1"/>
  <c r="D22" i="2"/>
  <c r="I35" i="2"/>
  <c r="CD27" i="10" s="1"/>
  <c r="T36" i="16"/>
  <c r="T24" i="16"/>
  <c r="T35" i="16"/>
  <c r="T30" i="16"/>
  <c r="T34" i="16"/>
  <c r="T29" i="16"/>
  <c r="T22" i="16"/>
  <c r="T33" i="16"/>
  <c r="T28" i="16"/>
  <c r="I34" i="2"/>
  <c r="CD26" i="10" s="1"/>
  <c r="T38" i="16"/>
  <c r="T32" i="16"/>
  <c r="I33" i="2"/>
  <c r="CD25" i="10" s="1"/>
  <c r="J58" i="2"/>
  <c r="F58" i="2"/>
  <c r="I52" i="2"/>
  <c r="CD41" i="10" s="1"/>
  <c r="I50" i="2"/>
  <c r="CD39" i="10" s="1"/>
  <c r="I49" i="2"/>
  <c r="I51" i="2"/>
  <c r="CD40" i="10" s="1"/>
  <c r="D25" i="2"/>
  <c r="I43" i="2"/>
  <c r="I47" i="2"/>
  <c r="F57" i="2"/>
  <c r="J57" i="2"/>
  <c r="J6" i="10"/>
  <c r="I21" i="10"/>
  <c r="I43" i="10"/>
  <c r="AL7" i="18"/>
  <c r="AA8" i="18"/>
  <c r="Y11" i="18"/>
  <c r="AA16" i="18"/>
  <c r="I44" i="2"/>
  <c r="CD34" i="10" s="1"/>
  <c r="U3" i="18"/>
  <c r="U14" i="18"/>
  <c r="Y5" i="16"/>
  <c r="I3" i="10"/>
  <c r="J8" i="10"/>
  <c r="J22" i="10"/>
  <c r="AA9" i="18"/>
  <c r="AA14" i="18"/>
  <c r="AA17" i="18"/>
  <c r="AA2" i="18"/>
  <c r="BM2" i="18"/>
  <c r="AA3" i="18"/>
  <c r="U4" i="18"/>
  <c r="U5" i="18"/>
  <c r="U12" i="18"/>
  <c r="S24" i="16"/>
  <c r="J52" i="10"/>
  <c r="I59" i="10"/>
  <c r="BN2" i="18"/>
  <c r="AA5" i="18"/>
  <c r="AA7" i="18"/>
  <c r="U10" i="18"/>
  <c r="AA12" i="18"/>
  <c r="U15" i="18"/>
  <c r="I45" i="2"/>
  <c r="CD35" i="10" s="1"/>
  <c r="R16" i="2"/>
  <c r="AL29" i="2"/>
  <c r="J44" i="10"/>
  <c r="I51" i="10"/>
  <c r="U2" i="18"/>
  <c r="AI2" i="18"/>
  <c r="U6" i="18"/>
  <c r="U13" i="18"/>
  <c r="W10" i="18"/>
  <c r="W4" i="18"/>
  <c r="W3" i="18"/>
  <c r="W17" i="18"/>
  <c r="W9" i="18"/>
  <c r="W7" i="18"/>
  <c r="W6" i="18"/>
  <c r="W5" i="18"/>
  <c r="W16" i="18"/>
  <c r="W15" i="18"/>
  <c r="W2" i="18"/>
  <c r="W11" i="18"/>
  <c r="W8" i="18"/>
  <c r="W13" i="18"/>
  <c r="J50" i="10"/>
  <c r="I50" i="10"/>
  <c r="J11" i="10"/>
  <c r="I11" i="10"/>
  <c r="J23" i="10"/>
  <c r="I23" i="10"/>
  <c r="J42" i="10"/>
  <c r="I42" i="10"/>
  <c r="W12" i="18"/>
  <c r="J41" i="10"/>
  <c r="I41" i="10"/>
  <c r="W14" i="18"/>
  <c r="J18" i="10"/>
  <c r="I18" i="10"/>
  <c r="J7" i="10"/>
  <c r="I7" i="10"/>
  <c r="J40" i="10"/>
  <c r="I40" i="10"/>
  <c r="J58" i="10"/>
  <c r="I58" i="10"/>
  <c r="J27" i="10"/>
  <c r="J31" i="10"/>
  <c r="J33" i="10"/>
  <c r="I4" i="10"/>
  <c r="I45" i="10"/>
  <c r="I53" i="10"/>
  <c r="J37" i="10"/>
  <c r="AI6" i="18"/>
  <c r="Y4" i="16"/>
  <c r="AI7" i="18"/>
  <c r="AI9" i="18"/>
  <c r="Y12" i="18"/>
  <c r="Y13" i="18"/>
  <c r="Y14" i="18"/>
  <c r="AI8" i="18"/>
  <c r="AI10" i="18"/>
  <c r="Y15" i="18"/>
  <c r="Y16" i="18"/>
  <c r="F1" i="16"/>
  <c r="AI3" i="18"/>
  <c r="AI4" i="18"/>
  <c r="AI11" i="18"/>
  <c r="AI12" i="18"/>
  <c r="AM8" i="27"/>
  <c r="AI2" i="27"/>
  <c r="I5" i="10"/>
  <c r="I25" i="10"/>
  <c r="I29" i="10"/>
  <c r="I35" i="10"/>
  <c r="I47" i="10"/>
  <c r="I55" i="10"/>
  <c r="Y5" i="18"/>
  <c r="Y6" i="18"/>
  <c r="U7" i="18"/>
  <c r="U9" i="18"/>
  <c r="U17" i="18"/>
  <c r="Y7" i="18"/>
  <c r="U8" i="18"/>
  <c r="Y9" i="18"/>
  <c r="Y6" i="16"/>
  <c r="Z6" i="16" s="1"/>
  <c r="AH3" i="27"/>
  <c r="AC2" i="27"/>
  <c r="AF3" i="27"/>
  <c r="AG7" i="27"/>
  <c r="AI3" i="27"/>
  <c r="AI4" i="27"/>
  <c r="AG8" i="27"/>
  <c r="AS3" i="3" a="1"/>
  <c r="AS3" i="3" s="1"/>
  <c r="O50" i="2" s="1"/>
  <c r="I20" i="10"/>
  <c r="AF10" i="18" l="1"/>
  <c r="BJ47" i="18" a="1"/>
  <c r="BJ47" i="18" s="1"/>
  <c r="BJ46" i="18" a="1"/>
  <c r="BJ46" i="18" s="1"/>
  <c r="BJ45" i="18" a="1"/>
  <c r="BJ45" i="18" s="1"/>
  <c r="BJ44" i="18" a="1"/>
  <c r="BJ44" i="18" s="1"/>
  <c r="BK19" i="18" a="1"/>
  <c r="BK19" i="18" s="1"/>
  <c r="BK24" i="18" a="1"/>
  <c r="BK24" i="18" s="1"/>
  <c r="BJ71" i="18" a="1"/>
  <c r="BJ71" i="18" s="1"/>
  <c r="BJ70" i="18" a="1"/>
  <c r="BJ70" i="18" s="1"/>
  <c r="BJ69" i="18" a="1"/>
  <c r="BJ69" i="18" s="1"/>
  <c r="BJ68" i="18" a="1"/>
  <c r="BJ68" i="18" s="1"/>
  <c r="BJ67" i="18" a="1"/>
  <c r="BJ67" i="18" s="1"/>
  <c r="BJ52" i="18" a="1"/>
  <c r="BJ52" i="18" s="1"/>
  <c r="BJ51" i="18" a="1"/>
  <c r="BJ51" i="18" s="1"/>
  <c r="BJ50" i="18" a="1"/>
  <c r="BJ50" i="18" s="1"/>
  <c r="BJ49" i="18" a="1"/>
  <c r="BJ49" i="18" s="1"/>
  <c r="BJ48" i="18" a="1"/>
  <c r="BJ48" i="18" s="1"/>
  <c r="BK20" i="18" a="1"/>
  <c r="BK20" i="18" s="1"/>
  <c r="BK25" i="18" a="1"/>
  <c r="BK25" i="18" s="1"/>
  <c r="BJ76" i="18" a="1"/>
  <c r="BJ76" i="18" s="1"/>
  <c r="BJ75" i="18" a="1"/>
  <c r="BJ75" i="18" s="1"/>
  <c r="BJ74" i="18" a="1"/>
  <c r="BJ74" i="18" s="1"/>
  <c r="BJ73" i="18" a="1"/>
  <c r="BJ73" i="18" s="1"/>
  <c r="BJ72" i="18" a="1"/>
  <c r="BJ72" i="18" s="1"/>
  <c r="BJ61" i="18" a="1"/>
  <c r="BJ61" i="18" s="1"/>
  <c r="BJ60" i="18" a="1"/>
  <c r="BJ60" i="18" s="1"/>
  <c r="BJ59" i="18" a="1"/>
  <c r="BJ59" i="18" s="1"/>
  <c r="BJ58" i="18" a="1"/>
  <c r="BJ58" i="18" s="1"/>
  <c r="BJ57" i="18" a="1"/>
  <c r="BJ57" i="18" s="1"/>
  <c r="BK22" i="18" a="1"/>
  <c r="BK22" i="18" s="1"/>
  <c r="BJ56" i="18" a="1"/>
  <c r="BJ56" i="18" s="1"/>
  <c r="BJ55" i="18" a="1"/>
  <c r="BJ55" i="18" s="1"/>
  <c r="BJ54" i="18" a="1"/>
  <c r="BJ54" i="18" s="1"/>
  <c r="BJ53" i="18" a="1"/>
  <c r="BJ53" i="18" s="1"/>
  <c r="BK21" i="18" a="1"/>
  <c r="BK21" i="18" s="1"/>
  <c r="AF9" i="18"/>
  <c r="BJ38" i="18" a="1"/>
  <c r="BJ38" i="18" s="1"/>
  <c r="BJ37" i="18" a="1"/>
  <c r="BJ37" i="18" s="1"/>
  <c r="BJ36" i="18" a="1"/>
  <c r="BJ36" i="18" s="1"/>
  <c r="BJ35" i="18" a="1"/>
  <c r="BJ35" i="18" s="1"/>
  <c r="BJ34" i="18" a="1"/>
  <c r="BJ34" i="18" s="1"/>
  <c r="BK17" i="18" a="1"/>
  <c r="BK17" i="18" s="1"/>
  <c r="BJ90" i="18" a="1"/>
  <c r="BJ90" i="18" s="1"/>
  <c r="BJ89" i="18" a="1"/>
  <c r="BJ89" i="18" s="1"/>
  <c r="BJ88" i="18" a="1"/>
  <c r="BJ88" i="18" s="1"/>
  <c r="BJ87" i="18" a="1"/>
  <c r="BJ87" i="18" s="1"/>
  <c r="BJ86" i="18" a="1"/>
  <c r="BJ86" i="18" s="1"/>
  <c r="BK28" i="18" a="1"/>
  <c r="BK28" i="18" s="1"/>
  <c r="BJ31" i="18" a="1"/>
  <c r="BJ31" i="18" s="1"/>
  <c r="BJ30" i="18" a="1"/>
  <c r="BJ30" i="18" s="1"/>
  <c r="BK16" i="18" a="1"/>
  <c r="BK16" i="18" s="1"/>
  <c r="BJ33" i="18" a="1"/>
  <c r="BJ33" i="18" s="1"/>
  <c r="BJ32" i="18" a="1"/>
  <c r="BJ32" i="18" s="1"/>
  <c r="BJ66" i="18" a="1"/>
  <c r="BJ66" i="18" s="1"/>
  <c r="BJ65" i="18" a="1"/>
  <c r="BJ65" i="18" s="1"/>
  <c r="BJ64" i="18" a="1"/>
  <c r="BJ64" i="18" s="1"/>
  <c r="BJ63" i="18" a="1"/>
  <c r="BJ63" i="18" s="1"/>
  <c r="BJ62" i="18" a="1"/>
  <c r="BJ62" i="18" s="1"/>
  <c r="BK23" i="18" a="1"/>
  <c r="BK23" i="18" s="1"/>
  <c r="BJ79" i="18" a="1"/>
  <c r="BJ79" i="18" s="1"/>
  <c r="BJ78" i="18" a="1"/>
  <c r="BJ78" i="18" s="1"/>
  <c r="BJ77" i="18" a="1"/>
  <c r="BJ77" i="18" s="1"/>
  <c r="BJ80" i="18" a="1"/>
  <c r="BJ80" i="18" s="1"/>
  <c r="BK26" i="18" a="1"/>
  <c r="BK26" i="18" s="1"/>
  <c r="BJ43" i="18" a="1"/>
  <c r="BJ43" i="18" s="1"/>
  <c r="BJ42" i="18" a="1"/>
  <c r="BJ42" i="18" s="1"/>
  <c r="BJ41" i="18" a="1"/>
  <c r="BJ41" i="18" s="1"/>
  <c r="BJ40" i="18" a="1"/>
  <c r="BJ40" i="18" s="1"/>
  <c r="BJ39" i="18" a="1"/>
  <c r="BJ39" i="18" s="1"/>
  <c r="BK18" i="18" a="1"/>
  <c r="BK18" i="18" s="1"/>
  <c r="BJ85" i="18" a="1"/>
  <c r="BJ85" i="18" s="1"/>
  <c r="BJ84" i="18" a="1"/>
  <c r="BJ84" i="18" s="1"/>
  <c r="BJ83" i="18" a="1"/>
  <c r="BJ83" i="18" s="1"/>
  <c r="BJ82" i="18" a="1"/>
  <c r="BJ82" i="18" s="1"/>
  <c r="BJ81" i="18" a="1"/>
  <c r="BJ81" i="18" s="1"/>
  <c r="BK27" i="18" a="1"/>
  <c r="BK27" i="18" s="1"/>
  <c r="D23" i="2"/>
  <c r="Q5" i="16"/>
  <c r="Q15" i="16"/>
  <c r="Q35" i="16"/>
  <c r="AH36" i="2"/>
  <c r="S15" i="16" s="1"/>
  <c r="Z5" i="16"/>
  <c r="Z2" i="16"/>
  <c r="AL33" i="2" s="1"/>
  <c r="W2" i="16"/>
  <c r="I31" i="2"/>
  <c r="CD24" i="10" s="1"/>
  <c r="Q31" i="16"/>
  <c r="Q29" i="16"/>
  <c r="BM6" i="18" a="1"/>
  <c r="BM6" i="18" s="1"/>
  <c r="BP7" i="18"/>
  <c r="BN6" i="18" a="1"/>
  <c r="BN6" i="18" s="1"/>
  <c r="BO6" i="18" a="1"/>
  <c r="BO6" i="18" s="1"/>
  <c r="BL7" i="18"/>
  <c r="BO7" i="18" s="1" a="1"/>
  <c r="BO7" i="18" s="1"/>
  <c r="BP6" i="18"/>
  <c r="Z4" i="16"/>
  <c r="AL35" i="2" s="1"/>
  <c r="AH35" i="2"/>
  <c r="S14" i="16" s="1"/>
  <c r="AP33" i="2"/>
  <c r="L50" i="2" s="1"/>
  <c r="V50" i="2" s="1"/>
  <c r="S16" i="16"/>
  <c r="Z3" i="16"/>
  <c r="AL34" i="2" s="1"/>
  <c r="AH34" i="2"/>
  <c r="S13" i="16" s="1"/>
  <c r="CD33" i="10"/>
  <c r="F27" i="2"/>
  <c r="I41" i="2"/>
  <c r="CD32" i="10" s="1"/>
  <c r="I37" i="2"/>
  <c r="CD28" i="10" s="1"/>
  <c r="I40" i="2"/>
  <c r="CD31" i="10" s="1"/>
  <c r="J56" i="2"/>
  <c r="F56" i="2"/>
  <c r="I39" i="2"/>
  <c r="CD30" i="10" s="1"/>
  <c r="I38" i="2"/>
  <c r="CD29" i="10" s="1"/>
  <c r="AF4" i="27"/>
  <c r="AH22" i="18"/>
  <c r="AH21" i="18"/>
  <c r="AH20" i="18"/>
  <c r="AH24" i="18"/>
  <c r="AH23" i="18"/>
  <c r="AC11" i="27"/>
  <c r="AC12" i="27"/>
  <c r="AC7" i="27"/>
  <c r="AC3" i="27"/>
  <c r="AC9" i="27"/>
  <c r="AC6" i="27"/>
  <c r="AC4" i="27"/>
  <c r="AC10" i="27"/>
  <c r="AC5" i="27"/>
  <c r="AC8" i="27"/>
  <c r="AH9" i="27"/>
  <c r="AE9" i="27"/>
  <c r="AG9" i="27" s="1"/>
  <c r="AF11" i="18" l="1"/>
  <c r="AF14" i="18" s="1"/>
  <c r="B8" i="28"/>
  <c r="BL8" i="18"/>
  <c r="BM8" i="18" s="1" a="1"/>
  <c r="BM8" i="18" s="1"/>
  <c r="BR4" i="18" s="1"/>
  <c r="AH33" i="2"/>
  <c r="S12" i="16" s="1"/>
  <c r="BT33" i="18"/>
  <c r="AW42" i="2" s="1"/>
  <c r="BP8" i="18"/>
  <c r="BV36" i="18"/>
  <c r="BV33" i="18"/>
  <c r="BV20" i="18"/>
  <c r="BT37" i="18"/>
  <c r="AW46" i="2" s="1"/>
  <c r="BT30" i="18"/>
  <c r="AW39" i="2" s="1"/>
  <c r="BV40" i="18"/>
  <c r="BT14" i="18"/>
  <c r="AW23" i="2" s="1"/>
  <c r="BV21" i="18"/>
  <c r="BV34" i="18"/>
  <c r="BR2" i="18"/>
  <c r="BT42" i="18"/>
  <c r="AW51" i="2" s="1"/>
  <c r="BT6" i="18"/>
  <c r="AW15" i="2" s="1"/>
  <c r="BT50" i="18"/>
  <c r="AW59" i="2" s="1"/>
  <c r="BV22" i="18"/>
  <c r="BT10" i="18"/>
  <c r="AW19" i="2" s="1"/>
  <c r="BV32" i="18"/>
  <c r="BV31" i="18"/>
  <c r="BT36" i="18"/>
  <c r="AW45" i="2" s="1"/>
  <c r="BV39" i="18"/>
  <c r="BT57" i="18"/>
  <c r="AW66" i="2" s="1"/>
  <c r="BT26" i="18"/>
  <c r="AW35" i="2" s="1"/>
  <c r="BT45" i="18"/>
  <c r="AW54" i="2" s="1"/>
  <c r="BT12" i="18"/>
  <c r="AW21" i="2" s="1"/>
  <c r="BV23" i="18"/>
  <c r="BV44" i="18"/>
  <c r="BV52" i="18"/>
  <c r="BT43" i="18"/>
  <c r="AW52" i="2" s="1"/>
  <c r="BT32" i="18"/>
  <c r="AW41" i="2" s="1"/>
  <c r="BT15" i="18"/>
  <c r="AW24" i="2" s="1"/>
  <c r="BT44" i="18"/>
  <c r="AW53" i="2" s="1"/>
  <c r="BT17" i="18"/>
  <c r="AW26" i="2" s="1"/>
  <c r="BT31" i="18"/>
  <c r="AW40" i="2" s="1"/>
  <c r="BV3" i="18"/>
  <c r="BV30" i="18"/>
  <c r="BV15" i="18"/>
  <c r="BT21" i="18"/>
  <c r="AW30" i="2" s="1"/>
  <c r="BT29" i="18"/>
  <c r="AW38" i="2" s="1"/>
  <c r="BV54" i="18"/>
  <c r="BV5" i="18"/>
  <c r="BT28" i="18"/>
  <c r="AW37" i="2" s="1"/>
  <c r="BV42" i="18"/>
  <c r="BT18" i="18"/>
  <c r="AW27" i="2" s="1"/>
  <c r="BV10" i="18"/>
  <c r="BT35" i="18"/>
  <c r="AW44" i="2" s="1"/>
  <c r="BT55" i="18"/>
  <c r="AW64" i="2" s="1"/>
  <c r="BT40" i="18"/>
  <c r="AW49" i="2" s="1"/>
  <c r="BT25" i="18"/>
  <c r="AW34" i="2" s="1"/>
  <c r="BV41" i="18"/>
  <c r="BT47" i="18"/>
  <c r="AW56" i="2" s="1"/>
  <c r="BV24" i="18"/>
  <c r="BV51" i="18"/>
  <c r="BT9" i="18"/>
  <c r="AW18" i="2" s="1"/>
  <c r="BT53" i="18"/>
  <c r="AW62" i="2" s="1"/>
  <c r="BT39" i="18"/>
  <c r="AW48" i="2" s="1"/>
  <c r="BV18" i="18"/>
  <c r="BV46" i="18"/>
  <c r="BT22" i="18"/>
  <c r="AW31" i="2" s="1"/>
  <c r="BT11" i="18"/>
  <c r="AW20" i="2" s="1"/>
  <c r="BV43" i="18"/>
  <c r="BT7" i="18"/>
  <c r="AW16" i="2" s="1"/>
  <c r="BT48" i="18"/>
  <c r="AW57" i="2" s="1"/>
  <c r="BV17" i="18"/>
  <c r="BT16" i="18"/>
  <c r="AW25" i="2" s="1"/>
  <c r="BV2" i="18"/>
  <c r="BV29" i="18"/>
  <c r="BT34" i="18"/>
  <c r="AW43" i="2" s="1"/>
  <c r="BT23" i="18"/>
  <c r="AW32" i="2" s="1"/>
  <c r="BT38" i="18"/>
  <c r="AW47" i="2" s="1"/>
  <c r="BT52" i="18"/>
  <c r="AW61" i="2" s="1"/>
  <c r="BT19" i="18"/>
  <c r="AW28" i="2" s="1"/>
  <c r="BV56" i="18"/>
  <c r="BT41" i="18"/>
  <c r="AW50" i="2" s="1"/>
  <c r="BV25" i="18"/>
  <c r="BV50" i="18"/>
  <c r="BT49" i="18"/>
  <c r="AW58" i="2" s="1"/>
  <c r="BT8" i="18"/>
  <c r="AW17" i="2" s="1"/>
  <c r="BV28" i="18"/>
  <c r="BT13" i="18"/>
  <c r="AW22" i="2" s="1"/>
  <c r="BV27" i="18"/>
  <c r="BV7" i="18"/>
  <c r="BT58" i="18"/>
  <c r="AW67" i="2" s="1"/>
  <c r="BT54" i="18"/>
  <c r="AW63" i="2" s="1"/>
  <c r="BV19" i="18"/>
  <c r="BV14" i="18"/>
  <c r="BT56" i="18"/>
  <c r="AW65" i="2" s="1"/>
  <c r="BT20" i="18"/>
  <c r="AW29" i="2" s="1"/>
  <c r="BV6" i="18"/>
  <c r="BT46" i="18"/>
  <c r="AW55" i="2" s="1"/>
  <c r="BT27" i="18"/>
  <c r="AW36" i="2" s="1"/>
  <c r="BT51" i="18"/>
  <c r="AW60" i="2" s="1"/>
  <c r="BT4" i="18"/>
  <c r="AW13" i="2" s="1"/>
  <c r="BV26" i="18"/>
  <c r="BT3" i="18"/>
  <c r="AW12" i="2" s="1"/>
  <c r="BV11" i="18"/>
  <c r="BV12" i="18"/>
  <c r="BV47" i="18"/>
  <c r="BV8" i="18"/>
  <c r="BV4" i="18"/>
  <c r="BT24" i="18"/>
  <c r="AW33" i="2" s="1"/>
  <c r="BT5" i="18"/>
  <c r="AW14" i="2" s="1"/>
  <c r="BM7" i="18" a="1"/>
  <c r="BM7" i="18" s="1"/>
  <c r="BR3" i="18" s="1"/>
  <c r="BV55" i="18"/>
  <c r="BV57" i="18"/>
  <c r="BV38" i="18"/>
  <c r="BV49" i="18"/>
  <c r="BV37" i="18"/>
  <c r="BV53" i="18"/>
  <c r="BV35" i="18"/>
  <c r="BN7" i="18" a="1"/>
  <c r="BN7" i="18" s="1"/>
  <c r="BT2" i="18"/>
  <c r="AW11" i="2" s="1"/>
  <c r="BV58" i="18"/>
  <c r="BV48" i="18"/>
  <c r="BV9" i="18"/>
  <c r="BV13" i="18"/>
  <c r="BV45" i="18"/>
  <c r="BV16" i="18"/>
  <c r="AF9" i="27"/>
  <c r="AD12" i="27" a="1"/>
  <c r="AD12" i="27" s="1"/>
  <c r="AD9" i="27" a="1"/>
  <c r="AD9" i="27" s="1"/>
  <c r="AD13" i="27" a="1"/>
  <c r="AD13" i="27" s="1"/>
  <c r="AD6" i="27" a="1"/>
  <c r="AD6" i="27" s="1"/>
  <c r="AD4" i="27" a="1"/>
  <c r="AD4" i="27" s="1"/>
  <c r="AD2" i="27" a="1"/>
  <c r="AD2" i="27" s="1"/>
  <c r="AD10" i="27" a="1"/>
  <c r="AD10" i="27" s="1"/>
  <c r="AD8" i="27" a="1"/>
  <c r="AD8" i="27" s="1"/>
  <c r="AD5" i="27" a="1"/>
  <c r="AD5" i="27" s="1"/>
  <c r="AD14" i="27" a="1"/>
  <c r="AD14" i="27" s="1"/>
  <c r="AD11" i="27" a="1"/>
  <c r="AD11" i="27" s="1"/>
  <c r="AD7" i="27" a="1"/>
  <c r="AD7" i="27" s="1"/>
  <c r="AD3" i="27" a="1"/>
  <c r="AD3" i="27" s="1"/>
  <c r="AE10" i="27"/>
  <c r="AH10" i="27"/>
  <c r="AF20" i="18" l="1"/>
  <c r="AJ21" i="18" s="1"/>
  <c r="AF21" i="18"/>
  <c r="AJ22" i="18" s="1"/>
  <c r="H68" i="2" s="1"/>
  <c r="AF15" i="18"/>
  <c r="AJ16" i="18" s="1"/>
  <c r="H62" i="2" s="1"/>
  <c r="AF19" i="18"/>
  <c r="AF16" i="18"/>
  <c r="AJ17" i="18" s="1"/>
  <c r="H63" i="2" s="1"/>
  <c r="AF23" i="18"/>
  <c r="AJ24" i="18" s="1"/>
  <c r="H70" i="2" s="1"/>
  <c r="AF17" i="18"/>
  <c r="AJ18" i="18" s="1"/>
  <c r="H64" i="2" s="1"/>
  <c r="AF22" i="18"/>
  <c r="AJ23" i="18" s="1"/>
  <c r="H69" i="2" s="1"/>
  <c r="AF18" i="18"/>
  <c r="AJ19" i="18" s="1"/>
  <c r="H65" i="2" s="1"/>
  <c r="BN8" i="18" a="1"/>
  <c r="BN8" i="18" s="1"/>
  <c r="BO8" i="18" a="1"/>
  <c r="BO8" i="18" s="1"/>
  <c r="BP9" i="18"/>
  <c r="BL9" i="18"/>
  <c r="BO9" i="18" s="1" a="1"/>
  <c r="BO9" i="18" s="1"/>
  <c r="AJ20" i="18"/>
  <c r="H66" i="2" s="1"/>
  <c r="H67" i="2"/>
  <c r="AF24" i="18"/>
  <c r="K71" i="2" s="1"/>
  <c r="AH11" i="27"/>
  <c r="AE11" i="27"/>
  <c r="AG10" i="27"/>
  <c r="AI5" i="27"/>
  <c r="AF10" i="27"/>
  <c r="AI6" i="27" s="1"/>
  <c r="BM9" i="18" l="1" a="1"/>
  <c r="BM9" i="18" s="1"/>
  <c r="BR5" i="18" s="1"/>
  <c r="BN9" i="18" a="1"/>
  <c r="BN9" i="18" s="1"/>
  <c r="BP10" i="18"/>
  <c r="BL10" i="18"/>
  <c r="BM10" i="18" s="1" a="1"/>
  <c r="BM10" i="18" s="1"/>
  <c r="BR6" i="18" s="1"/>
  <c r="AH12" i="27"/>
  <c r="AE12" i="27"/>
  <c r="AG11" i="27"/>
  <c r="AF11" i="27"/>
  <c r="BN10" i="18" l="1" a="1"/>
  <c r="BN10" i="18" s="1"/>
  <c r="BO10" i="18" a="1"/>
  <c r="BO10" i="18" s="1"/>
  <c r="BP11" i="18"/>
  <c r="BL11" i="18"/>
  <c r="BP12" i="18" s="1"/>
  <c r="AI7" i="27"/>
  <c r="AE13" i="27"/>
  <c r="AH13" i="27"/>
  <c r="AG12" i="27"/>
  <c r="AF12" i="27"/>
  <c r="AI8" i="27" s="1"/>
  <c r="BO11" i="18" l="1" a="1"/>
  <c r="BO11" i="18" s="1"/>
  <c r="BL12" i="18"/>
  <c r="BM12" i="18" s="1" a="1"/>
  <c r="BM12" i="18" s="1"/>
  <c r="BR8" i="18" s="1"/>
  <c r="BN11" i="18" a="1"/>
  <c r="BN11" i="18" s="1"/>
  <c r="BM11" i="18" a="1"/>
  <c r="BM11" i="18" s="1"/>
  <c r="BR7" i="18" s="1"/>
  <c r="AH14" i="27"/>
  <c r="AE14" i="27"/>
  <c r="AG13" i="27"/>
  <c r="AF13" i="27"/>
  <c r="BO12" i="18" l="1" a="1"/>
  <c r="BO12" i="18" s="1"/>
  <c r="BP13" i="18"/>
  <c r="BL13" i="18"/>
  <c r="BM13" i="18" s="1" a="1"/>
  <c r="BM13" i="18" s="1"/>
  <c r="BR9" i="18" s="1"/>
  <c r="BN12" i="18" a="1"/>
  <c r="BN12" i="18" s="1"/>
  <c r="AE15" i="27"/>
  <c r="AH15" i="27"/>
  <c r="AG14" i="27"/>
  <c r="AF14" i="27"/>
  <c r="AI9" i="27"/>
  <c r="BN13" i="18" l="1" a="1"/>
  <c r="BN13" i="18" s="1"/>
  <c r="BL14" i="18"/>
  <c r="BL15" i="18" s="1"/>
  <c r="BO13" i="18" a="1"/>
  <c r="BO13" i="18" s="1"/>
  <c r="BP14" i="18"/>
  <c r="AE16" i="27"/>
  <c r="AH16" i="27"/>
  <c r="AG15" i="27"/>
  <c r="AF15" i="27"/>
  <c r="BO14" i="18" a="1"/>
  <c r="BO14" i="18" s="1"/>
  <c r="BN14" i="18" a="1"/>
  <c r="BN14" i="18" s="1"/>
  <c r="BM14" i="18" a="1"/>
  <c r="BM14" i="18" s="1"/>
  <c r="BR10" i="18" s="1"/>
  <c r="AI10" i="27"/>
  <c r="BP15" i="18" l="1"/>
  <c r="AI11" i="27"/>
  <c r="AE17" i="27"/>
  <c r="AH17" i="27"/>
  <c r="AG16" i="27"/>
  <c r="AF16" i="27"/>
  <c r="AI12" i="27" s="1"/>
  <c r="BO15" i="18" a="1"/>
  <c r="BO15" i="18" s="1"/>
  <c r="BN15" i="18" a="1"/>
  <c r="BN15" i="18" s="1"/>
  <c r="BP16" i="18"/>
  <c r="BM15" i="18" a="1"/>
  <c r="BM15" i="18" s="1"/>
  <c r="BR11" i="18" s="1"/>
  <c r="BL16" i="18"/>
  <c r="AH18" i="27" l="1"/>
  <c r="AE18" i="27"/>
  <c r="AG17" i="27"/>
  <c r="AF17" i="27"/>
  <c r="AI13" i="27" s="1"/>
  <c r="BO16" i="18" a="1"/>
  <c r="BO16" i="18" s="1"/>
  <c r="BL17" i="18"/>
  <c r="BN16" i="18" a="1"/>
  <c r="BN16" i="18" s="1"/>
  <c r="BP17" i="18"/>
  <c r="BM16" i="18" a="1"/>
  <c r="BM16" i="18" s="1"/>
  <c r="BR12" i="18" s="1"/>
  <c r="AH19" i="27" l="1"/>
  <c r="AE19" i="27"/>
  <c r="AG18" i="27"/>
  <c r="AF18" i="27"/>
  <c r="AI14" i="27" s="1"/>
  <c r="BM17" i="18" a="1"/>
  <c r="BM17" i="18" s="1"/>
  <c r="BR13" i="18" s="1"/>
  <c r="BL18" i="18"/>
  <c r="BP18" i="18"/>
  <c r="BO17" i="18" a="1"/>
  <c r="BO17" i="18" s="1"/>
  <c r="BN17" i="18" a="1"/>
  <c r="BN17" i="18" s="1"/>
  <c r="AE20" i="27" l="1"/>
  <c r="AH20" i="27"/>
  <c r="AG19" i="27"/>
  <c r="AF19" i="27"/>
  <c r="AI15" i="27" s="1"/>
  <c r="BM18" i="18" a="1"/>
  <c r="BM18" i="18" s="1"/>
  <c r="BR14" i="18" s="1"/>
  <c r="BL19" i="18"/>
  <c r="BP19" i="18"/>
  <c r="BO18" i="18" a="1"/>
  <c r="BO18" i="18" s="1"/>
  <c r="BN18" i="18" a="1"/>
  <c r="BN18" i="18" s="1"/>
  <c r="BN19" i="18" l="1" a="1"/>
  <c r="BN19" i="18" s="1"/>
  <c r="BM19" i="18" a="1"/>
  <c r="BM19" i="18" s="1"/>
  <c r="BR15" i="18" s="1"/>
  <c r="BL20" i="18"/>
  <c r="BP20" i="18"/>
  <c r="BO19" i="18" a="1"/>
  <c r="BO19" i="18" s="1"/>
  <c r="AH21" i="27"/>
  <c r="AE21" i="27"/>
  <c r="AG20" i="27"/>
  <c r="AF20" i="27"/>
  <c r="AI16" i="27" s="1"/>
  <c r="AG21" i="27" l="1"/>
  <c r="AF21" i="27"/>
  <c r="AI17" i="27" s="1"/>
  <c r="AJ7" i="27" s="1" a="1"/>
  <c r="AJ7" i="27" s="1"/>
  <c r="BN20" i="18" a="1"/>
  <c r="BN20" i="18" s="1"/>
  <c r="BM20" i="18" a="1"/>
  <c r="BM20" i="18" s="1"/>
  <c r="BR16" i="18" s="1"/>
  <c r="BL21" i="18"/>
  <c r="BP21" i="18"/>
  <c r="BO20" i="18" a="1"/>
  <c r="BO20" i="18" s="1"/>
  <c r="AJ4" i="27" l="1" a="1"/>
  <c r="AJ4" i="27" s="1"/>
  <c r="AJ3" i="27" a="1"/>
  <c r="AJ3" i="27" s="1"/>
  <c r="AJ2" i="27" a="1"/>
  <c r="AJ2" i="27" s="1"/>
  <c r="AJ8" i="27" a="1"/>
  <c r="AJ8" i="27" s="1"/>
  <c r="AJ15" i="27" a="1"/>
  <c r="AJ15" i="27" s="1"/>
  <c r="AJ14" i="27" a="1"/>
  <c r="AJ14" i="27" s="1"/>
  <c r="AJ5" i="27" a="1"/>
  <c r="AJ5" i="27" s="1"/>
  <c r="AJ6" i="27" a="1"/>
  <c r="AJ6" i="27" s="1"/>
  <c r="AJ16" i="27" a="1"/>
  <c r="AJ16" i="27" s="1"/>
  <c r="AJ12" i="27" a="1"/>
  <c r="AJ12" i="27" s="1"/>
  <c r="AJ13" i="27" a="1"/>
  <c r="AJ13" i="27" s="1"/>
  <c r="AJ17" i="27" a="1"/>
  <c r="AJ17" i="27" s="1"/>
  <c r="AJ9" i="27" a="1"/>
  <c r="AJ9" i="27" s="1"/>
  <c r="AJ10" i="27" a="1"/>
  <c r="AJ10" i="27" s="1"/>
  <c r="AJ11" i="27" a="1"/>
  <c r="AJ11" i="27" s="1"/>
  <c r="BL22" i="18"/>
  <c r="BN21" i="18" a="1"/>
  <c r="BN21" i="18" s="1"/>
  <c r="BP22" i="18"/>
  <c r="BM21" i="18" a="1"/>
  <c r="BM21" i="18" s="1"/>
  <c r="BR17" i="18" s="1"/>
  <c r="BO21" i="18" a="1"/>
  <c r="BO21" i="18" s="1"/>
  <c r="AL2" i="27"/>
  <c r="AL7" i="27"/>
  <c r="AL4" i="27"/>
  <c r="AL10" i="27"/>
  <c r="AL15" i="27"/>
  <c r="AL8" i="27"/>
  <c r="AL9" i="27"/>
  <c r="AL3" i="27"/>
  <c r="AL14" i="27"/>
  <c r="AL11" i="27"/>
  <c r="AL13" i="27"/>
  <c r="AL12" i="27"/>
  <c r="AL5" i="27"/>
  <c r="AL6" i="27"/>
  <c r="BL23" i="18" l="1"/>
  <c r="BP23" i="18"/>
  <c r="BO22" i="18" a="1"/>
  <c r="BO22" i="18" s="1"/>
  <c r="BN22" i="18" a="1"/>
  <c r="BN22" i="18" s="1"/>
  <c r="BM22" i="18" a="1"/>
  <c r="BM22" i="18" s="1"/>
  <c r="BR18" i="18" s="1"/>
  <c r="BL24" i="18" l="1"/>
  <c r="BP24" i="18"/>
  <c r="BO23" i="18" a="1"/>
  <c r="BO23" i="18" s="1"/>
  <c r="BN23" i="18" a="1"/>
  <c r="BN23" i="18" s="1"/>
  <c r="BM23" i="18" a="1"/>
  <c r="BM23" i="18" s="1"/>
  <c r="BR19" i="18" s="1"/>
  <c r="BO24" i="18" l="1" a="1"/>
  <c r="BO24" i="18" s="1"/>
  <c r="BL25" i="18"/>
  <c r="BP25" i="18"/>
  <c r="BN24" i="18" a="1"/>
  <c r="BN24" i="18" s="1"/>
  <c r="BM24" i="18" a="1"/>
  <c r="BM24" i="18" s="1"/>
  <c r="BR20" i="18" s="1"/>
  <c r="BM25" i="18" l="1" a="1"/>
  <c r="BM25" i="18" s="1"/>
  <c r="BR21" i="18" s="1"/>
  <c r="BO25" i="18" a="1"/>
  <c r="BO25" i="18" s="1"/>
  <c r="BP26" i="18"/>
  <c r="BN25" i="18" a="1"/>
  <c r="BN25" i="18" s="1"/>
  <c r="BL26" i="18"/>
  <c r="BO26" i="18" l="1" a="1"/>
  <c r="BO26" i="18" s="1"/>
  <c r="BL27" i="18"/>
  <c r="BP27" i="18"/>
  <c r="BN26" i="18" a="1"/>
  <c r="BN26" i="18" s="1"/>
  <c r="BM26" i="18" a="1"/>
  <c r="BM26" i="18" s="1"/>
  <c r="BR22" i="18" s="1"/>
  <c r="BO27" i="18" l="1" a="1"/>
  <c r="BO27" i="18" s="1"/>
  <c r="BL28" i="18"/>
  <c r="BP28" i="18"/>
  <c r="BN27" i="18" a="1"/>
  <c r="BN27" i="18" s="1"/>
  <c r="BM27" i="18" a="1"/>
  <c r="BM27" i="18" s="1"/>
  <c r="BR23" i="18" s="1"/>
  <c r="BN28" i="18" l="1" a="1"/>
  <c r="BN28" i="18" s="1"/>
  <c r="BL29" i="18"/>
  <c r="BP29" i="18"/>
  <c r="BM28" i="18" a="1"/>
  <c r="BM28" i="18" s="1"/>
  <c r="BR24" i="18" s="1"/>
  <c r="BO28" i="18" a="1"/>
  <c r="BO28" i="18" s="1"/>
  <c r="BO29" i="18" l="1" a="1"/>
  <c r="BO29" i="18" s="1"/>
  <c r="BL30" i="18"/>
  <c r="BP30" i="18"/>
  <c r="BN29" i="18" a="1"/>
  <c r="BN29" i="18" s="1"/>
  <c r="BM29" i="18" a="1"/>
  <c r="BM29" i="18" s="1"/>
  <c r="BR25" i="18" s="1"/>
  <c r="BP31" i="18" l="1"/>
  <c r="BN30" i="18" a="1"/>
  <c r="BN30" i="18" s="1"/>
  <c r="BM30" i="18" a="1"/>
  <c r="BM30" i="18" s="1"/>
  <c r="BR26" i="18" s="1"/>
  <c r="BL31" i="18"/>
  <c r="BO30" i="18" a="1"/>
  <c r="BO30" i="18" s="1"/>
  <c r="BO31" i="18" l="1" a="1"/>
  <c r="BO31" i="18" s="1"/>
  <c r="BL32" i="18"/>
  <c r="BN31" i="18" a="1"/>
  <c r="BN31" i="18" s="1"/>
  <c r="BP32" i="18"/>
  <c r="BM31" i="18" a="1"/>
  <c r="BM31" i="18" s="1"/>
  <c r="BR27" i="18" s="1"/>
  <c r="BP33" i="18" l="1"/>
  <c r="BM32" i="18" a="1"/>
  <c r="BM32" i="18" s="1"/>
  <c r="BR28" i="18" s="1"/>
  <c r="BO32" i="18" a="1"/>
  <c r="BO32" i="18" s="1"/>
  <c r="BN32" i="18" a="1"/>
  <c r="BN32" i="18" s="1"/>
  <c r="BL33" i="18"/>
  <c r="BP34" i="18" l="1"/>
  <c r="BN33" i="18" a="1"/>
  <c r="BN33" i="18" s="1"/>
  <c r="BO33" i="18" a="1"/>
  <c r="BO33" i="18" s="1"/>
  <c r="BL34" i="18"/>
  <c r="BM33" i="18" a="1"/>
  <c r="BM33" i="18" s="1"/>
  <c r="BR29" i="18" s="1"/>
  <c r="BP35" i="18" l="1"/>
  <c r="BM34" i="18" a="1"/>
  <c r="BM34" i="18" s="1"/>
  <c r="BR30" i="18" s="1"/>
  <c r="BO34" i="18" a="1"/>
  <c r="BO34" i="18" s="1"/>
  <c r="BL35" i="18"/>
  <c r="BN34" i="18" a="1"/>
  <c r="BN34" i="18" s="1"/>
  <c r="BM35" i="18" l="1" a="1"/>
  <c r="BM35" i="18" s="1"/>
  <c r="BR31" i="18" s="1"/>
  <c r="BO35" i="18" a="1"/>
  <c r="BO35" i="18" s="1"/>
  <c r="BL36" i="18"/>
  <c r="BN35" i="18" a="1"/>
  <c r="BN35" i="18" s="1"/>
  <c r="BP36" i="18"/>
  <c r="BL37" i="18" l="1"/>
  <c r="BN36" i="18" a="1"/>
  <c r="BN36" i="18" s="1"/>
  <c r="BP37" i="18"/>
  <c r="BM36" i="18" a="1"/>
  <c r="BM36" i="18" s="1"/>
  <c r="BR32" i="18" s="1"/>
  <c r="BO36" i="18" a="1"/>
  <c r="BO36" i="18" s="1"/>
  <c r="BO37" i="18" l="1" a="1"/>
  <c r="BO37" i="18" s="1"/>
  <c r="BL38" i="18"/>
  <c r="BN37" i="18" a="1"/>
  <c r="BN37" i="18" s="1"/>
  <c r="BP38" i="18"/>
  <c r="BM37" i="18" a="1"/>
  <c r="BM37" i="18" s="1"/>
  <c r="BR33" i="18" s="1"/>
  <c r="BO38" i="18" l="1" a="1"/>
  <c r="BO38" i="18" s="1"/>
  <c r="BL39" i="18"/>
  <c r="BN38" i="18" a="1"/>
  <c r="BN38" i="18" s="1"/>
  <c r="BM38" i="18" a="1"/>
  <c r="BM38" i="18" s="1"/>
  <c r="BR34" i="18" s="1"/>
  <c r="BP39" i="18"/>
  <c r="BO39" i="18" l="1" a="1"/>
  <c r="BO39" i="18" s="1"/>
  <c r="BP40" i="18"/>
  <c r="BM39" i="18" a="1"/>
  <c r="BM39" i="18" s="1"/>
  <c r="BR35" i="18" s="1"/>
  <c r="BL40" i="18"/>
  <c r="BN39" i="18" a="1"/>
  <c r="BN39" i="18" s="1"/>
  <c r="BO40" i="18" l="1" a="1"/>
  <c r="BO40" i="18" s="1"/>
  <c r="BL41" i="18"/>
  <c r="BN40" i="18" a="1"/>
  <c r="BN40" i="18" s="1"/>
  <c r="BP41" i="18"/>
  <c r="BM40" i="18" a="1"/>
  <c r="BM40" i="18" s="1"/>
  <c r="BR36" i="18" s="1"/>
  <c r="BP42" i="18" l="1"/>
  <c r="BN41" i="18" a="1"/>
  <c r="BN41" i="18" s="1"/>
  <c r="BM41" i="18" a="1"/>
  <c r="BM41" i="18" s="1"/>
  <c r="BR37" i="18" s="1"/>
  <c r="BO41" i="18" a="1"/>
  <c r="BO41" i="18" s="1"/>
  <c r="BL42" i="18"/>
  <c r="BO42" i="18" l="1" a="1"/>
  <c r="BO42" i="18" s="1"/>
  <c r="BL43" i="18"/>
  <c r="BN42" i="18" a="1"/>
  <c r="BN42" i="18" s="1"/>
  <c r="BP43" i="18"/>
  <c r="BM42" i="18" a="1"/>
  <c r="BM42" i="18" s="1"/>
  <c r="BR38" i="18" s="1"/>
  <c r="BM43" i="18" l="1" a="1"/>
  <c r="BM43" i="18" s="1"/>
  <c r="BR39" i="18" s="1"/>
  <c r="BL44" i="18"/>
  <c r="BN43" i="18" a="1"/>
  <c r="BN43" i="18" s="1"/>
  <c r="BP44" i="18"/>
  <c r="BO43" i="18" a="1"/>
  <c r="BO43" i="18" s="1"/>
  <c r="BL45" i="18" l="1"/>
  <c r="BO44" i="18" a="1"/>
  <c r="BO44" i="18" s="1"/>
  <c r="BN44" i="18" a="1"/>
  <c r="BN44" i="18" s="1"/>
  <c r="BP45" i="18"/>
  <c r="BM44" i="18" a="1"/>
  <c r="BM44" i="18" s="1"/>
  <c r="BR40" i="18" s="1"/>
  <c r="BP46" i="18" l="1"/>
  <c r="BL46" i="18"/>
  <c r="BN45" i="18" a="1"/>
  <c r="BN45" i="18" s="1"/>
  <c r="BM45" i="18" a="1"/>
  <c r="BM45" i="18" s="1"/>
  <c r="BR41" i="18" s="1"/>
  <c r="BO45" i="18" a="1"/>
  <c r="BO45" i="18" s="1"/>
  <c r="BP47" i="18" l="1"/>
  <c r="BO46" i="18" a="1"/>
  <c r="BO46" i="18" s="1"/>
  <c r="BL47" i="18"/>
  <c r="BM46" i="18" a="1"/>
  <c r="BM46" i="18" s="1"/>
  <c r="BR42" i="18" s="1"/>
  <c r="BN46" i="18" a="1"/>
  <c r="BN46" i="18" s="1"/>
  <c r="BM47" i="18" l="1" a="1"/>
  <c r="BM47" i="18" s="1"/>
  <c r="BR43" i="18" s="1"/>
  <c r="BP48" i="18"/>
  <c r="BO47" i="18" a="1"/>
  <c r="BO47" i="18" s="1"/>
  <c r="BN47" i="18" a="1"/>
  <c r="BN47" i="18" s="1"/>
  <c r="BL48" i="18"/>
  <c r="BL49" i="18" l="1"/>
  <c r="BN48" i="18" a="1"/>
  <c r="BN48" i="18" s="1"/>
  <c r="BO48" i="18" a="1"/>
  <c r="BO48" i="18" s="1"/>
  <c r="BM48" i="18" a="1"/>
  <c r="BM48" i="18" s="1"/>
  <c r="BR44" i="18" s="1"/>
  <c r="BP49" i="18"/>
  <c r="BN49" i="18" l="1" a="1"/>
  <c r="BN49" i="18" s="1"/>
  <c r="BL50" i="18"/>
  <c r="BM49" i="18" a="1"/>
  <c r="BM49" i="18" s="1"/>
  <c r="BR45" i="18" s="1"/>
  <c r="BP50" i="18"/>
  <c r="BO49" i="18" a="1"/>
  <c r="BO49" i="18" s="1"/>
  <c r="BO50" i="18" l="1" a="1"/>
  <c r="BO50" i="18" s="1"/>
  <c r="BP51" i="18"/>
  <c r="BL51" i="18"/>
  <c r="BM50" i="18" a="1"/>
  <c r="BM50" i="18" s="1"/>
  <c r="BR46" i="18" s="1"/>
  <c r="BN50" i="18" a="1"/>
  <c r="BN50" i="18" s="1"/>
  <c r="BO51" i="18" l="1" a="1"/>
  <c r="BO51" i="18" s="1"/>
  <c r="BP52" i="18"/>
  <c r="BM51" i="18" a="1"/>
  <c r="BM51" i="18" s="1"/>
  <c r="BR47" i="18" s="1"/>
  <c r="BN51" i="18" a="1"/>
  <c r="BN51" i="18" s="1"/>
  <c r="BL52" i="18"/>
  <c r="BO52" i="18" l="1" a="1"/>
  <c r="BO52" i="18" s="1"/>
  <c r="BL53" i="18"/>
  <c r="BN52" i="18" a="1"/>
  <c r="BN52" i="18" s="1"/>
  <c r="BM52" i="18" a="1"/>
  <c r="BM52" i="18" s="1"/>
  <c r="BR48" i="18" s="1"/>
  <c r="BP53" i="18"/>
  <c r="BP54" i="18" l="1"/>
  <c r="BN53" i="18" a="1"/>
  <c r="BN53" i="18" s="1"/>
  <c r="BM53" i="18" a="1"/>
  <c r="BM53" i="18" s="1"/>
  <c r="BR49" i="18" s="1"/>
  <c r="BL54" i="18"/>
  <c r="BO53" i="18" a="1"/>
  <c r="BO53" i="18" s="1"/>
  <c r="BP55" i="18" l="1"/>
  <c r="BO54" i="18" a="1"/>
  <c r="BO54" i="18" s="1"/>
  <c r="BL55" i="18"/>
  <c r="BN54" i="18" a="1"/>
  <c r="BN54" i="18" s="1"/>
  <c r="BM54" i="18" a="1"/>
  <c r="BM54" i="18" s="1"/>
  <c r="BR50" i="18" s="1"/>
  <c r="BM55" i="18" l="1" a="1"/>
  <c r="BM55" i="18" s="1"/>
  <c r="BR51" i="18" s="1"/>
  <c r="BL56" i="18"/>
  <c r="BN55" i="18" a="1"/>
  <c r="BN55" i="18" s="1"/>
  <c r="BO55" i="18" a="1"/>
  <c r="BO55" i="18" s="1"/>
  <c r="BP56" i="18"/>
  <c r="BL57" i="18" l="1"/>
  <c r="BO56" i="18" a="1"/>
  <c r="BO56" i="18" s="1"/>
  <c r="BN56" i="18" a="1"/>
  <c r="BN56" i="18" s="1"/>
  <c r="BM56" i="18" a="1"/>
  <c r="BM56" i="18" s="1"/>
  <c r="BR52" i="18" s="1"/>
  <c r="BP57" i="18"/>
  <c r="BM57" i="18" l="1" a="1"/>
  <c r="BM57" i="18" s="1"/>
  <c r="BR53" i="18" s="1"/>
  <c r="BP58" i="18"/>
  <c r="BN57" i="18" a="1"/>
  <c r="BN57" i="18" s="1"/>
  <c r="BO57" i="18" a="1"/>
  <c r="BO57" i="18" s="1"/>
  <c r="BL58" i="18"/>
  <c r="BP59" i="18" l="1"/>
  <c r="BO58" i="18" a="1"/>
  <c r="BO58" i="18" s="1"/>
  <c r="BL59" i="18"/>
  <c r="BN58" i="18" a="1"/>
  <c r="BN58" i="18" s="1"/>
  <c r="BM58" i="18" a="1"/>
  <c r="BM58" i="18" s="1"/>
  <c r="BR54" i="18" s="1"/>
  <c r="BO59" i="18" l="1" a="1"/>
  <c r="BO59" i="18" s="1"/>
  <c r="BP60" i="18"/>
  <c r="BN59" i="18" a="1"/>
  <c r="BN59" i="18" s="1"/>
  <c r="BM59" i="18" a="1"/>
  <c r="BM59" i="18" s="1"/>
  <c r="BR55" i="18" s="1"/>
  <c r="BL60" i="18"/>
  <c r="BN60" i="18" l="1" a="1"/>
  <c r="BN60" i="18" s="1"/>
  <c r="BO60" i="18" a="1"/>
  <c r="BO60" i="18" s="1"/>
  <c r="BP61" i="18"/>
  <c r="BM60" i="18" a="1"/>
  <c r="BM60" i="18" s="1"/>
  <c r="BR56" i="18" s="1"/>
  <c r="BL61" i="18"/>
  <c r="BL62" i="18" l="1"/>
  <c r="BM61" i="18" a="1"/>
  <c r="BM61" i="18" s="1"/>
  <c r="BR57" i="18" s="1"/>
  <c r="BP62" i="18"/>
  <c r="BO61" i="18" a="1"/>
  <c r="BO61" i="18" s="1"/>
  <c r="BN61" i="18" a="1"/>
  <c r="BN61" i="18" s="1"/>
  <c r="BN62" i="18" l="1" a="1"/>
  <c r="BN62" i="18" s="1"/>
  <c r="BP63" i="18"/>
  <c r="BO62" i="18" a="1"/>
  <c r="BO62" i="18" s="1"/>
  <c r="BM62" i="18" a="1"/>
  <c r="BM62" i="18" s="1"/>
  <c r="BR58" i="18" s="1"/>
  <c r="BL63" i="18"/>
  <c r="BO63" i="18" l="1" a="1"/>
  <c r="BO63" i="18" s="1"/>
  <c r="BP64" i="18"/>
  <c r="BN63" i="18" a="1"/>
  <c r="BN63" i="18" s="1"/>
  <c r="BM63" i="18" a="1"/>
  <c r="BM63" i="18" s="1"/>
  <c r="BR59" i="18" s="1"/>
  <c r="BL64" i="18"/>
  <c r="BN64" i="18" l="1" a="1"/>
  <c r="BN64" i="18" s="1"/>
  <c r="BM64" i="18" a="1"/>
  <c r="BM64" i="18" s="1"/>
  <c r="BR60" i="18" s="1"/>
  <c r="BP65" i="18"/>
  <c r="BO64" i="18" a="1"/>
  <c r="BO64" i="18" s="1"/>
  <c r="BL65" i="18"/>
  <c r="BL66" i="18" l="1"/>
  <c r="BM65" i="18" a="1"/>
  <c r="BM65" i="18" s="1"/>
  <c r="BR61" i="18" s="1"/>
  <c r="BP66" i="18"/>
  <c r="BO65" i="18" a="1"/>
  <c r="BO65" i="18" s="1"/>
  <c r="BN65" i="18" a="1"/>
  <c r="BN65" i="18" s="1"/>
  <c r="BL67" i="18" l="1"/>
  <c r="BP67" i="18"/>
  <c r="BO66" i="18" a="1"/>
  <c r="BO66" i="18" s="1"/>
  <c r="BN66" i="18" a="1"/>
  <c r="BN66" i="18" s="1"/>
  <c r="BM66" i="18" a="1"/>
  <c r="BM66" i="18" s="1"/>
  <c r="BR62" i="18" s="1"/>
  <c r="BO67" i="18" l="1" a="1"/>
  <c r="BO67" i="18" s="1"/>
  <c r="BL68" i="18"/>
  <c r="BP68" i="18"/>
  <c r="BN67" i="18" a="1"/>
  <c r="BN67" i="18" s="1"/>
  <c r="BM67" i="18" a="1"/>
  <c r="BM67" i="18" s="1"/>
  <c r="BR63" i="18" s="1"/>
  <c r="BN68" i="18" l="1" a="1"/>
  <c r="BN68" i="18" s="1"/>
  <c r="BP69" i="18"/>
  <c r="BL69" i="18"/>
  <c r="BO68" i="18" a="1"/>
  <c r="BO68" i="18" s="1"/>
  <c r="BM68" i="18" a="1"/>
  <c r="BM68" i="18" s="1"/>
  <c r="BR64" i="18" s="1"/>
  <c r="BL70" i="18" l="1"/>
  <c r="BM69" i="18" a="1"/>
  <c r="BM69" i="18" s="1"/>
  <c r="BR65" i="18" s="1"/>
  <c r="BP70" i="18"/>
  <c r="BO69" i="18" a="1"/>
  <c r="BO69" i="18" s="1"/>
  <c r="BN69" i="18" a="1"/>
  <c r="BN69" i="18" s="1"/>
  <c r="BM70" i="18" l="1" a="1"/>
  <c r="BM70" i="18" s="1"/>
  <c r="BR66" i="18" s="1"/>
  <c r="BL71" i="18"/>
  <c r="BO70" i="18" a="1"/>
  <c r="BO70" i="18" s="1"/>
  <c r="BP71" i="18"/>
  <c r="BN70" i="18" a="1"/>
  <c r="BN70" i="18" s="1"/>
  <c r="BO71" i="18" l="1" a="1"/>
  <c r="BO71" i="18" s="1"/>
  <c r="BN71" i="18" a="1"/>
  <c r="BN71" i="18" s="1"/>
  <c r="BM71" i="18" a="1"/>
  <c r="BM71" i="18" s="1"/>
  <c r="BR67" i="18" s="1"/>
  <c r="BL72" i="18"/>
  <c r="BP72" i="18"/>
  <c r="BN72" i="18" l="1" a="1"/>
  <c r="BN72" i="18" s="1"/>
  <c r="BP73" i="18"/>
  <c r="BO72" i="18" a="1"/>
  <c r="BO72" i="18" s="1"/>
  <c r="BM72" i="18" a="1"/>
  <c r="BM72" i="18" s="1"/>
  <c r="BR68" i="18" s="1"/>
  <c r="BL73" i="18"/>
  <c r="BL74" i="18" l="1"/>
  <c r="BM73" i="18" a="1"/>
  <c r="BM73" i="18" s="1"/>
  <c r="BR69" i="18" s="1"/>
  <c r="BO73" i="18" a="1"/>
  <c r="BO73" i="18" s="1"/>
  <c r="BP74" i="18"/>
  <c r="BN73" i="18" a="1"/>
  <c r="BN73" i="18" s="1"/>
  <c r="BL75" i="18" l="1"/>
  <c r="BO74" i="18" a="1"/>
  <c r="BO74" i="18" s="1"/>
  <c r="BP75" i="18"/>
  <c r="BN74" i="18" a="1"/>
  <c r="BN74" i="18" s="1"/>
  <c r="BM74" i="18" a="1"/>
  <c r="BM74" i="18" s="1"/>
  <c r="BR70" i="18" s="1"/>
  <c r="BO75" i="18" l="1" a="1"/>
  <c r="BO75" i="18" s="1"/>
  <c r="BL76" i="18"/>
  <c r="BN75" i="18" a="1"/>
  <c r="BN75" i="18" s="1"/>
  <c r="BP76" i="18"/>
  <c r="BM75" i="18" a="1"/>
  <c r="BM75" i="18" s="1"/>
  <c r="BR71" i="18" s="1"/>
  <c r="BN76" i="18" l="1" a="1"/>
  <c r="BN76" i="18" s="1"/>
  <c r="BP77" i="18"/>
  <c r="BM76" i="18" a="1"/>
  <c r="BM76" i="18" s="1"/>
  <c r="BR72" i="18" s="1"/>
  <c r="BL77" i="18"/>
  <c r="BO76" i="18" a="1"/>
  <c r="BO76" i="18" s="1"/>
  <c r="BM77" i="18" l="1" a="1"/>
  <c r="BM77" i="18" s="1"/>
  <c r="BR73" i="18" s="1"/>
  <c r="BP78" i="18"/>
  <c r="BN77" i="18" a="1"/>
  <c r="BN77" i="18" s="1"/>
  <c r="BL78" i="18"/>
  <c r="BO77" i="18" a="1"/>
  <c r="BO77" i="18" s="1"/>
  <c r="BM78" i="18" l="1" a="1"/>
  <c r="BM78" i="18" s="1"/>
  <c r="BR74" i="18" s="1"/>
  <c r="BP79" i="18"/>
  <c r="BN78" i="18" a="1"/>
  <c r="BN78" i="18" s="1"/>
  <c r="BL79" i="18"/>
  <c r="BO78" i="18" a="1"/>
  <c r="BO78" i="18" s="1"/>
  <c r="BM79" i="18" l="1" a="1"/>
  <c r="BM79" i="18" s="1"/>
  <c r="BR75" i="18" s="1"/>
  <c r="BP80" i="18"/>
  <c r="BO79" i="18" a="1"/>
  <c r="BO79" i="18" s="1"/>
  <c r="BL80" i="18"/>
  <c r="BN79" i="18" a="1"/>
  <c r="BN79" i="18" s="1"/>
  <c r="BM80" i="18" l="1" a="1"/>
  <c r="BM80" i="18" s="1"/>
  <c r="BR76" i="18" s="1"/>
  <c r="BP81" i="18"/>
  <c r="BN80" i="18" a="1"/>
  <c r="BN80" i="18" s="1"/>
  <c r="BL81" i="18"/>
  <c r="BO80" i="18" a="1"/>
  <c r="BO80" i="18" s="1"/>
  <c r="BM81" i="18" l="1" a="1"/>
  <c r="BM81" i="18" s="1"/>
  <c r="BR77" i="18" s="1"/>
  <c r="BP82" i="18"/>
  <c r="BL82" i="18"/>
  <c r="BO81" i="18" a="1"/>
  <c r="BO81" i="18" s="1"/>
  <c r="BN81" i="18" a="1"/>
  <c r="BN81" i="18" s="1"/>
  <c r="BM82" i="18" l="1" a="1"/>
  <c r="BM82" i="18" s="1"/>
  <c r="BR78" i="18" s="1"/>
  <c r="BP83" i="18"/>
  <c r="BN82" i="18" a="1"/>
  <c r="BN82" i="18" s="1"/>
  <c r="BL83" i="18"/>
  <c r="BO82" i="18" a="1"/>
  <c r="BO82" i="18" s="1"/>
  <c r="BM83" i="18" l="1" a="1"/>
  <c r="BM83" i="18" s="1"/>
  <c r="BR79" i="18" s="1"/>
  <c r="BP84" i="18"/>
  <c r="BO83" i="18" a="1"/>
  <c r="BO83" i="18" s="1"/>
  <c r="BN83" i="18" a="1"/>
  <c r="BN83" i="18" s="1"/>
  <c r="BL84" i="18"/>
  <c r="BM84" i="18" l="1" a="1"/>
  <c r="BM84" i="18" s="1"/>
  <c r="BR80" i="18" s="1"/>
  <c r="BP85" i="18"/>
  <c r="BL85" i="18"/>
  <c r="BO84" i="18" a="1"/>
  <c r="BO84" i="18" s="1"/>
  <c r="BN84" i="18" a="1"/>
  <c r="BN84" i="18" s="1"/>
  <c r="BM85" i="18" l="1" a="1"/>
  <c r="BM85" i="18" s="1"/>
  <c r="BR81" i="18" s="1"/>
  <c r="BP86" i="18"/>
  <c r="BL86" i="18"/>
  <c r="BO85" i="18" a="1"/>
  <c r="BO85" i="18" s="1"/>
  <c r="BN85" i="18" a="1"/>
  <c r="BN85" i="18" s="1"/>
  <c r="BM86" i="18" l="1" a="1"/>
  <c r="BM86" i="18" s="1"/>
  <c r="BR82" i="18" s="1"/>
  <c r="BP87" i="18"/>
  <c r="BN86" i="18" a="1"/>
  <c r="BN86" i="18" s="1"/>
  <c r="BO86" i="18" a="1"/>
  <c r="BO86" i="18" s="1"/>
  <c r="BL87" i="18"/>
  <c r="BM87" i="18" l="1" a="1"/>
  <c r="BM87" i="18" s="1"/>
  <c r="BR83" i="18" s="1"/>
  <c r="BP88" i="18"/>
  <c r="BO87" i="18" a="1"/>
  <c r="BO87" i="18" s="1"/>
  <c r="BL88" i="18"/>
  <c r="BN87" i="18" a="1"/>
  <c r="BN87" i="18" s="1"/>
  <c r="BM88" i="18" l="1" a="1"/>
  <c r="BM88" i="18" s="1"/>
  <c r="BR84" i="18" s="1"/>
  <c r="BP89" i="18"/>
  <c r="BL89" i="18"/>
  <c r="BO88" i="18" a="1"/>
  <c r="BO88" i="18" s="1"/>
  <c r="BN88" i="18" a="1"/>
  <c r="BN88" i="18" s="1"/>
  <c r="BM89" i="18" l="1" a="1"/>
  <c r="BM89" i="18" s="1"/>
  <c r="BR85" i="18" s="1"/>
  <c r="BP90" i="18"/>
  <c r="BO89" i="18" a="1"/>
  <c r="BO89" i="18" s="1"/>
  <c r="BN89" i="18" a="1"/>
  <c r="BN89" i="18" s="1"/>
  <c r="BL90" i="18"/>
  <c r="BM90" i="18" l="1" a="1"/>
  <c r="BM90" i="18" s="1"/>
  <c r="BR86" i="18" s="1"/>
  <c r="BP91" i="18"/>
  <c r="BO90" i="18" a="1"/>
  <c r="BO90" i="18" s="1"/>
  <c r="BN90" i="18" a="1"/>
  <c r="BN90" i="18" s="1"/>
  <c r="BL91" i="18"/>
  <c r="BM91" i="18" l="1" a="1"/>
  <c r="BM91" i="18" s="1"/>
  <c r="BR87" i="18" s="1"/>
  <c r="BP92" i="18"/>
  <c r="BO91" i="18" a="1"/>
  <c r="BO91" i="18" s="1"/>
  <c r="BN91" i="18" a="1"/>
  <c r="BN91" i="18" s="1"/>
  <c r="BL92" i="18"/>
  <c r="BM92" i="18" l="1" a="1"/>
  <c r="BM92" i="18" s="1"/>
  <c r="BR88" i="18" s="1"/>
  <c r="BP93" i="18"/>
  <c r="BO92" i="18" a="1"/>
  <c r="BO92" i="18" s="1"/>
  <c r="BL93" i="18"/>
  <c r="BN92" i="18" a="1"/>
  <c r="BN92" i="18" s="1"/>
  <c r="BM93" i="18" l="1" a="1"/>
  <c r="BM93" i="18" s="1"/>
  <c r="BR89" i="18" s="1"/>
  <c r="BP94" i="18"/>
  <c r="BO93" i="18" a="1"/>
  <c r="BO93" i="18" s="1"/>
  <c r="BL94" i="18"/>
  <c r="BN93" i="18" a="1"/>
  <c r="BN93" i="18" s="1"/>
  <c r="BM94" i="18" l="1" a="1"/>
  <c r="BM94" i="18" s="1"/>
  <c r="BR90" i="18" s="1"/>
  <c r="BP95" i="18"/>
  <c r="BO94" i="18" a="1"/>
  <c r="BO94" i="18" s="1"/>
  <c r="BL95" i="18"/>
  <c r="BN94" i="18" a="1"/>
  <c r="BN94" i="18" s="1"/>
  <c r="BM95" i="18" l="1" a="1"/>
  <c r="BM95" i="18" s="1"/>
  <c r="BR91" i="18" s="1"/>
  <c r="BP96" i="18"/>
  <c r="BO95" i="18" a="1"/>
  <c r="BO95" i="18" s="1"/>
  <c r="BL96" i="18"/>
  <c r="BN95" i="18" a="1"/>
  <c r="BN95" i="18" s="1"/>
  <c r="BM96" i="18" l="1" a="1"/>
  <c r="BM96" i="18" s="1"/>
  <c r="BR92" i="18" s="1"/>
  <c r="BP97" i="18"/>
  <c r="BO96" i="18" a="1"/>
  <c r="BO96" i="18" s="1"/>
  <c r="BL97" i="18"/>
  <c r="BN96" i="18" a="1"/>
  <c r="BN96" i="18" s="1"/>
  <c r="BM97" i="18" l="1" a="1"/>
  <c r="BM97" i="18" s="1"/>
  <c r="BR93" i="18" s="1"/>
  <c r="BP98" i="18"/>
  <c r="BO97" i="18" a="1"/>
  <c r="BO97" i="18" s="1"/>
  <c r="BL98" i="18"/>
  <c r="BN97" i="18" a="1"/>
  <c r="BN97" i="18" s="1"/>
  <c r="BM98" i="18" l="1" a="1"/>
  <c r="BM98" i="18" s="1"/>
  <c r="BR94" i="18" s="1"/>
  <c r="BP99" i="18"/>
  <c r="BO98" i="18" a="1"/>
  <c r="BO98" i="18" s="1"/>
  <c r="BN98" i="18" a="1"/>
  <c r="BN98" i="18" s="1"/>
  <c r="BL99" i="18"/>
  <c r="BM99" i="18" l="1" a="1"/>
  <c r="BM99" i="18" s="1"/>
  <c r="BR95" i="18" s="1"/>
  <c r="BP100" i="18"/>
  <c r="BO99" i="18" a="1"/>
  <c r="BO99" i="18" s="1"/>
  <c r="BL100" i="18"/>
  <c r="BN99" i="18" a="1"/>
  <c r="BN99" i="18" s="1"/>
  <c r="BM100" i="18" l="1" a="1"/>
  <c r="BM100" i="18" s="1"/>
  <c r="BR96" i="18" s="1"/>
  <c r="BP101" i="18"/>
  <c r="BO100" i="18" a="1"/>
  <c r="BO100" i="18" s="1"/>
  <c r="BN100" i="18" a="1"/>
  <c r="BN100" i="18" s="1"/>
  <c r="BL101" i="18"/>
  <c r="BM101" i="18" l="1" a="1"/>
  <c r="BM101" i="18" s="1"/>
  <c r="BR97" i="18" s="1"/>
  <c r="BP102" i="18"/>
  <c r="BO101" i="18" a="1"/>
  <c r="BO101" i="18" s="1"/>
  <c r="BL102" i="18"/>
  <c r="BN101" i="18" a="1"/>
  <c r="BN101" i="18" s="1"/>
  <c r="BM102" i="18" l="1" a="1"/>
  <c r="BM102" i="18" s="1"/>
  <c r="BR98" i="18" s="1"/>
  <c r="BL103" i="18"/>
  <c r="BP103" i="18"/>
  <c r="BO102" i="18" a="1"/>
  <c r="BO102" i="18" s="1"/>
  <c r="BN102" i="18" a="1"/>
  <c r="BN102" i="18" s="1"/>
  <c r="BM103" i="18" l="1" a="1"/>
  <c r="BM103" i="18" s="1"/>
  <c r="BR99" i="18" s="1"/>
  <c r="BL104" i="18"/>
  <c r="BP104" i="18"/>
  <c r="BO103" i="18" a="1"/>
  <c r="BO103" i="18" s="1"/>
  <c r="BN103" i="18" a="1"/>
  <c r="BN103" i="18" s="1"/>
  <c r="BM104" i="18" l="1" a="1"/>
  <c r="BM104" i="18" s="1"/>
  <c r="BR100" i="18" s="1"/>
  <c r="BL105" i="18"/>
  <c r="BP105" i="18"/>
  <c r="BO104" i="18" a="1"/>
  <c r="BO104" i="18" s="1"/>
  <c r="BN104" i="18" a="1"/>
  <c r="BN104" i="18" s="1"/>
  <c r="BM105" i="18" l="1" a="1"/>
  <c r="BM105" i="18" s="1"/>
  <c r="BR101" i="18" s="1"/>
  <c r="BS86" i="18" s="1" a="1"/>
  <c r="BS86" i="18" s="1"/>
  <c r="BO105" i="18" a="1"/>
  <c r="BO105" i="18" s="1"/>
  <c r="BN105" i="18" a="1"/>
  <c r="BN105" i="18" s="1"/>
  <c r="BS96" i="18" l="1" a="1"/>
  <c r="BS96" i="18" s="1"/>
  <c r="BS65" i="18" a="1"/>
  <c r="BS65" i="18" s="1"/>
  <c r="BS24" i="18" a="1"/>
  <c r="BS24" i="18" s="1"/>
  <c r="BS98" i="18" a="1"/>
  <c r="BS98" i="18" s="1"/>
  <c r="BS17" i="18" a="1"/>
  <c r="BS17" i="18" s="1"/>
  <c r="BS66" i="18" a="1"/>
  <c r="BS66" i="18" s="1"/>
  <c r="BS40" i="18" a="1"/>
  <c r="BS40" i="18" s="1"/>
  <c r="BS33" i="18" a="1"/>
  <c r="BS33" i="18" s="1"/>
  <c r="BS78" i="18" a="1"/>
  <c r="BS78" i="18" s="1"/>
  <c r="BS58" i="18" a="1"/>
  <c r="BS58" i="18" s="1"/>
  <c r="BS81" i="18" a="1"/>
  <c r="BS81" i="18" s="1"/>
  <c r="BS47" i="18" a="1"/>
  <c r="BS47" i="18" s="1"/>
  <c r="BS73" i="18" a="1"/>
  <c r="BS73" i="18" s="1"/>
  <c r="BS55" i="18" a="1"/>
  <c r="BS55" i="18" s="1"/>
  <c r="BS4" i="18" a="1"/>
  <c r="BS4" i="18" s="1"/>
  <c r="BS10" i="18" a="1"/>
  <c r="BS10" i="18" s="1"/>
  <c r="BS9" i="18" a="1"/>
  <c r="BS9" i="18" s="1"/>
  <c r="BS68" i="18" a="1"/>
  <c r="BS68" i="18" s="1"/>
  <c r="BS7" i="18" a="1"/>
  <c r="BS7" i="18" s="1"/>
  <c r="BS39" i="18" a="1"/>
  <c r="BS39" i="18" s="1"/>
  <c r="BS48" i="18" a="1"/>
  <c r="BS48" i="18" s="1"/>
  <c r="BS87" i="18" a="1"/>
  <c r="BS87" i="18" s="1"/>
  <c r="BS77" i="18" a="1"/>
  <c r="BS77" i="18" s="1"/>
  <c r="BS21" i="18" a="1"/>
  <c r="BS21" i="18" s="1"/>
  <c r="BS36" i="18" a="1"/>
  <c r="BS36" i="18" s="1"/>
  <c r="BS72" i="18" a="1"/>
  <c r="BS72" i="18" s="1"/>
  <c r="BS82" i="18" a="1"/>
  <c r="BS82" i="18" s="1"/>
  <c r="BS79" i="18" a="1"/>
  <c r="BS79" i="18" s="1"/>
  <c r="BS94" i="18" a="1"/>
  <c r="BS94" i="18" s="1"/>
  <c r="BS11" i="18" a="1"/>
  <c r="BS11" i="18" s="1"/>
  <c r="BS43" i="18" a="1"/>
  <c r="BS43" i="18" s="1"/>
  <c r="BS95" i="18" a="1"/>
  <c r="BS95" i="18" s="1"/>
  <c r="BS76" i="18" a="1"/>
  <c r="BS76" i="18" s="1"/>
  <c r="BS6" i="18" a="1"/>
  <c r="BS6" i="18" s="1"/>
  <c r="BS63" i="18" a="1"/>
  <c r="BS63" i="18" s="1"/>
  <c r="BS37" i="18" a="1"/>
  <c r="BS37" i="18" s="1"/>
  <c r="BS5" i="18" a="1"/>
  <c r="BS5" i="18" s="1"/>
  <c r="BS34" i="18" a="1"/>
  <c r="BS34" i="18" s="1"/>
  <c r="BS27" i="18" a="1"/>
  <c r="BS27" i="18" s="1"/>
  <c r="BS46" i="18" a="1"/>
  <c r="BS46" i="18" s="1"/>
  <c r="BS74" i="18" a="1"/>
  <c r="BS74" i="18" s="1"/>
  <c r="BS56" i="18" a="1"/>
  <c r="BS56" i="18" s="1"/>
  <c r="BS28" i="18" a="1"/>
  <c r="BS28" i="18" s="1"/>
  <c r="BS44" i="18" a="1"/>
  <c r="BS44" i="18" s="1"/>
  <c r="BS59" i="18" a="1"/>
  <c r="BS59" i="18" s="1"/>
  <c r="BS45" i="18" a="1"/>
  <c r="BS45" i="18" s="1"/>
  <c r="BS67" i="18" a="1"/>
  <c r="BS67" i="18" s="1"/>
  <c r="BS14" i="18" a="1"/>
  <c r="BS14" i="18" s="1"/>
  <c r="BS35" i="18" a="1"/>
  <c r="BS35" i="18" s="1"/>
  <c r="BS49" i="18" a="1"/>
  <c r="BS49" i="18" s="1"/>
  <c r="BS29" i="18" a="1"/>
  <c r="BS29" i="18" s="1"/>
  <c r="BS62" i="18" a="1"/>
  <c r="BS62" i="18" s="1"/>
  <c r="BS8" i="18" a="1"/>
  <c r="BS8" i="18" s="1"/>
  <c r="BS75" i="18" a="1"/>
  <c r="BS75" i="18" s="1"/>
  <c r="BS90" i="18" a="1"/>
  <c r="BS90" i="18" s="1"/>
  <c r="BS52" i="18" a="1"/>
  <c r="BS52" i="18" s="1"/>
  <c r="BS22" i="18" a="1"/>
  <c r="BS22" i="18" s="1"/>
  <c r="BS69" i="18" a="1"/>
  <c r="BS69" i="18" s="1"/>
  <c r="BS84" i="18" a="1"/>
  <c r="BS84" i="18" s="1"/>
  <c r="BS13" i="18" a="1"/>
  <c r="BS13" i="18" s="1"/>
  <c r="BS88" i="18" a="1"/>
  <c r="BS88" i="18" s="1"/>
  <c r="BS85" i="18" a="1"/>
  <c r="BS85" i="18" s="1"/>
  <c r="BS15" i="18" a="1"/>
  <c r="BS15" i="18" s="1"/>
  <c r="BS99" i="18" a="1"/>
  <c r="BS99" i="18" s="1"/>
  <c r="BS89" i="18" a="1"/>
  <c r="BS89" i="18" s="1"/>
  <c r="BS51" i="18" a="1"/>
  <c r="BS51" i="18" s="1"/>
  <c r="BS42" i="18" a="1"/>
  <c r="BS42" i="18" s="1"/>
  <c r="BS70" i="18" a="1"/>
  <c r="BS70" i="18" s="1"/>
  <c r="BS3" i="18" a="1"/>
  <c r="BS3" i="18" s="1"/>
  <c r="BS101" i="18" a="1"/>
  <c r="BS101" i="18" s="1"/>
  <c r="BS100" i="18" a="1"/>
  <c r="BS100" i="18" s="1"/>
  <c r="BS83" i="18" a="1"/>
  <c r="BS83" i="18" s="1"/>
  <c r="BS91" i="18" a="1"/>
  <c r="BS91" i="18" s="1"/>
  <c r="BS50" i="18" a="1"/>
  <c r="BS50" i="18" s="1"/>
  <c r="BS38" i="18" a="1"/>
  <c r="BS38" i="18" s="1"/>
  <c r="BS92" i="18" a="1"/>
  <c r="BS92" i="18" s="1"/>
  <c r="BS2" i="18" a="1"/>
  <c r="BS2" i="18" s="1"/>
  <c r="BS57" i="18" a="1"/>
  <c r="BS57" i="18" s="1"/>
  <c r="BS23" i="18" a="1"/>
  <c r="BS23" i="18" s="1"/>
  <c r="BS19" i="18" a="1"/>
  <c r="BS19" i="18" s="1"/>
  <c r="BS20" i="18" a="1"/>
  <c r="BS20" i="18" s="1"/>
  <c r="BS31" i="18" a="1"/>
  <c r="BS31" i="18" s="1"/>
  <c r="BS60" i="18" a="1"/>
  <c r="BS60" i="18" s="1"/>
  <c r="BS26" i="18" a="1"/>
  <c r="BS26" i="18" s="1"/>
  <c r="BS18" i="18" a="1"/>
  <c r="BS18" i="18" s="1"/>
  <c r="BS64" i="18" a="1"/>
  <c r="BS64" i="18" s="1"/>
  <c r="BS53" i="18" a="1"/>
  <c r="BS53" i="18" s="1"/>
  <c r="BS16" i="18" a="1"/>
  <c r="BS16" i="18" s="1"/>
  <c r="BS93" i="18" a="1"/>
  <c r="BS93" i="18" s="1"/>
  <c r="BS32" i="18" a="1"/>
  <c r="BS32" i="18" s="1"/>
  <c r="BS41" i="18" a="1"/>
  <c r="BS41" i="18" s="1"/>
  <c r="BS25" i="18" a="1"/>
  <c r="BS25" i="18" s="1"/>
  <c r="BS30" i="18" a="1"/>
  <c r="BS30" i="18" s="1"/>
  <c r="BS61" i="18" a="1"/>
  <c r="BS61" i="18" s="1"/>
  <c r="BS80" i="18" a="1"/>
  <c r="BS80" i="18" s="1"/>
  <c r="BS12" i="18" a="1"/>
  <c r="BS12" i="18" s="1"/>
  <c r="BS54" i="18" a="1"/>
  <c r="BS54" i="18" s="1"/>
  <c r="BS97" i="18" a="1"/>
  <c r="BS97" i="18" s="1"/>
  <c r="BS71" i="18" a="1"/>
  <c r="BS71" i="18" s="1"/>
  <c r="C3" i="8" a="1"/>
  <c r="C3" i="8" l="1"/>
  <c r="E11" i="8" l="1"/>
  <c r="H13" i="8"/>
  <c r="C23" i="8"/>
  <c r="M9" i="8"/>
  <c r="M11" i="8"/>
  <c r="E19" i="8"/>
  <c r="E9" i="8"/>
  <c r="Q9" i="8"/>
  <c r="C8" i="8"/>
  <c r="O8" i="8"/>
  <c r="E1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Killer Queen</author>
  </authors>
  <commentList>
    <comment ref="H8" authorId="0" shapeId="0" xr:uid="{00000000-0006-0000-0000-000001000000}">
      <text>
        <r>
          <rPr>
            <sz val="9"/>
            <rFont val="宋体"/>
            <family val="3"/>
            <charset val="134"/>
          </rPr>
          <t>1英寸为2.54厘米
1英尺为30.48厘米</t>
        </r>
      </text>
    </comment>
    <comment ref="H9" authorId="0" shapeId="0" xr:uid="{00000000-0006-0000-0000-000002000000}">
      <text>
        <r>
          <rPr>
            <sz val="9"/>
            <rFont val="宋体"/>
            <family val="3"/>
            <charset val="134"/>
          </rPr>
          <t>1磅约为0.453公斤</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Killer Queen</author>
    <author>0v0</author>
    <author>Null</author>
    <author>Administrator</author>
    <author>Walmart-2756</author>
  </authors>
  <commentList>
    <comment ref="R7" authorId="0" shapeId="0" xr:uid="{00000000-0006-0000-0100-000001000000}">
      <text>
        <r>
          <rPr>
            <sz val="9"/>
            <rFont val="微软雅黑"/>
            <family val="2"/>
            <charset val="134"/>
          </rPr>
          <t>在该栏中，你或许会看到：
“半血裔”“巫咒之子”“重生者”
这三项属于族系：如果你在选择种族后选择了一个族系，则你过去可能曾经是某一种族，但如今已不再是他们的一员。你现在只有来自族系的种族特质。（来自范·里希腾的鸦阁指南）
请在使用前咨询你的DM</t>
        </r>
      </text>
    </comment>
    <comment ref="AX7" authorId="1" shapeId="0" xr:uid="{00000000-0006-0000-0100-000002000000}">
      <text>
        <r>
          <rPr>
            <sz val="9"/>
            <rFont val="宋体"/>
            <family val="3"/>
            <charset val="134"/>
          </rPr>
          <t>在此处填上额外生命值成长数值，如专长，种族，职业特性等带来的每级生命值</t>
        </r>
      </text>
    </comment>
    <comment ref="BB7" authorId="1" shapeId="0" xr:uid="{00000000-0006-0000-0100-000003000000}">
      <text>
        <r>
          <rPr>
            <sz val="9"/>
            <rFont val="宋体"/>
            <family val="3"/>
            <charset val="134"/>
          </rPr>
          <t>在此处填上如援助术等效果所提供的最大生命值</t>
        </r>
      </text>
    </comment>
    <comment ref="C13" authorId="0" shapeId="0" xr:uid="{00000000-0006-0000-0100-000004000000}">
      <text>
        <r>
          <rPr>
            <sz val="9"/>
            <rFont val="微软雅黑"/>
            <family val="2"/>
            <charset val="134"/>
          </rPr>
          <t>力量代表肌肉力量、运动训练及所能发挥的肉体潜能。
力量检定可以对应举重、推、拉、暴力破坏、推挤或其他使用蛮力的情况。
运动技能反映了某几类力量检定可以表示的能力。
当你执行以下行动时，可能会要求你进行力量检定：
强行突破卡死、上锁或栓住、堵塞的门。
扯开束缚物。
挤过太狭窄的通道。
被马车拖行时抓着马车不放。
推倒一座雕像。
止住滚动中的大圆石。</t>
        </r>
      </text>
    </comment>
    <comment ref="C14" authorId="0" shapeId="0" xr:uid="{00000000-0006-0000-0100-000005000000}">
      <text>
        <r>
          <rPr>
            <sz val="9"/>
            <rFont val="微软雅黑"/>
            <family val="2"/>
            <charset val="134"/>
          </rPr>
          <t>敏捷代表机敏度、反射速度、平衡力。
当你执行以下行动时，也可能要求你进行敏捷检定：
在落坡时控制住重载的马车。
控制战车急转弯或避开障碍。
撬锁。
解除陷阱。
牢牢地绑住战俘。
从束缚中滑脱。
演奏弦乐
制作细致的小东西</t>
        </r>
      </text>
    </comment>
    <comment ref="C15" authorId="0" shapeId="0" xr:uid="{00000000-0006-0000-0100-000006000000}">
      <text>
        <r>
          <rPr>
            <sz val="9"/>
            <rFont val="微软雅黑"/>
            <family val="2"/>
            <charset val="134"/>
          </rPr>
          <t>体质代表健康、耐力、生命力。
当你进行以下行动时，可能会要求你进行体质检定：
闭气。
持续数小时不间断的行军或作苦力活。
通宵活动。
不吃不喝。
一口喝掉一大杯麦酒。</t>
        </r>
      </text>
    </comment>
    <comment ref="C16" authorId="0" shapeId="0" xr:uid="{00000000-0006-0000-0100-000007000000}">
      <text>
        <r>
          <rPr>
            <sz val="9"/>
            <rFont val="微软雅黑"/>
            <family val="2"/>
            <charset val="134"/>
          </rPr>
          <t>智力代表思维能力、记忆能力、逻辑能力。
当你执行以下行动时，可能会要求你进行智力检定：
不使用言语与他人沟通
给一件贵重品估价
搜集材料以伪装成一名城市守卫通过某处
伪造文书。
忆起关于一门手艺或行业的知识
在技术性游戏中获胜。</t>
        </r>
      </text>
    </comment>
    <comment ref="C17" authorId="0" shapeId="0" xr:uid="{00000000-0006-0000-0100-000008000000}">
      <text>
        <r>
          <rPr>
            <sz val="9"/>
            <rFont val="微软雅黑"/>
            <family val="2"/>
            <charset val="134"/>
          </rPr>
          <t>感知代表你与周围环境的协和度，反映了你的观察力和洞察力。
当你执行以下行动时，可能会要你进行感知检定。
用直觉决定下一步应该怎样做。
办认看上去已经死了或者还活着的生物是否不死生物。</t>
        </r>
      </text>
    </comment>
    <comment ref="BT17" authorId="2" shapeId="0" xr:uid="{00000000-0006-0000-0100-000009000000}">
      <text>
        <r>
          <rPr>
            <sz val="9"/>
            <rFont val="微软雅黑"/>
            <family val="2"/>
            <charset val="134"/>
          </rPr>
          <t xml:space="preserve">该表格整合收录了部分拓展专长
如果要使用拓展专长请先咨询下你家的DM哦~
</t>
        </r>
      </text>
    </comment>
    <comment ref="C18" authorId="0" shapeId="0" xr:uid="{00000000-0006-0000-0100-00000A000000}">
      <text>
        <r>
          <rPr>
            <sz val="9"/>
            <rFont val="微软雅黑"/>
            <family val="2"/>
            <charset val="134"/>
          </rPr>
          <t>魅力量化你跟他人有效地交流的能力。
它代表了信心、口才，也能代表迷人或有凝聚力的个性。
当你执行以下行动时，可能会要你进行魅力检定。
找出最消息灵通的人。
融入群众，听取当下的热门话题。</t>
        </r>
      </text>
    </comment>
    <comment ref="J23" authorId="3" shapeId="0" xr:uid="{00000000-0006-0000-0100-00000B000000}">
      <text>
        <r>
          <rPr>
            <sz val="9"/>
            <rFont val="微软雅黑"/>
            <family val="2"/>
            <charset val="134"/>
          </rPr>
          <t>生命骰的总数等于角色的等级
每一粒生命骰的结果加上角色的体质调整值，即为该粒生命骰恢复的生命值（总数至少为0）。
每掷完一粒生命骰，都可以选择是否花费更多生命骰来恢复生命。
一个角色已花费的生命骰，可以通过完成一次长休来恢复。</t>
        </r>
      </text>
    </comment>
    <comment ref="AA24" authorId="3" shapeId="0" xr:uid="{00000000-0006-0000-0100-00000C000000}">
      <text>
        <r>
          <rPr>
            <sz val="9"/>
            <rFont val="微软雅黑"/>
            <family val="2"/>
            <charset val="134"/>
          </rPr>
          <t>受该类型伤害时数值减半
抗性先作用于易伤，而两者皆在伤害加上所有适用的调整值后再作应用</t>
        </r>
      </text>
    </comment>
    <comment ref="J26" authorId="4" shapeId="0" xr:uid="{00000000-0006-0000-0100-00000D000000}">
      <text>
        <r>
          <rPr>
            <sz val="9"/>
            <rFont val="微软雅黑"/>
            <family val="2"/>
            <charset val="134"/>
          </rPr>
          <t>【特殊能力】
可用来记录职业能力
如狂暴、气、引导神力等...</t>
        </r>
      </text>
    </comment>
    <comment ref="R26" authorId="4" shapeId="0" xr:uid="{00000000-0006-0000-0100-00000E000000}">
      <text>
        <r>
          <rPr>
            <sz val="9"/>
            <rFont val="微软雅黑"/>
            <family val="2"/>
            <charset val="134"/>
          </rPr>
          <t>【特殊能力】
可用来记录职业能力
如狂暴、气、引导神力等...</t>
        </r>
      </text>
    </comment>
    <comment ref="AA26" authorId="5" shapeId="0" xr:uid="{00000000-0006-0000-0100-00000F000000}">
      <text>
        <r>
          <rPr>
            <sz val="9"/>
            <rFont val="微软雅黑"/>
            <family val="2"/>
            <charset val="134"/>
          </rPr>
          <t>有时候，你所进行的属性检定，攻击检定或豁免检定会具有优势或劣势这种特殊调整。
此时，你在进行相应的掷骰后要再掷一次d20，具有优势时采用骰值较高者，劣势则采用值低者。
例如，具有劣势时，你掷出17和5，则采用5。若你在具有优势时掷出同一数组，则你采用17。
当有多个情况使你同时具有复数的优势或劣势时，你都只能额外掷一次d20。
例如，当两项有利情况都使你具有优势，则你依然只额外掷一次d20。
如果某次掷骰同时具有优势和劣势，则两边效果互相抵消，即你只掷一次d20，即使两边的数量不对等也一样，此时，你视为没有优势也没有劣势。
当你具有优势或劣势，且可以重掷或取代d20值时（比如半身人“幸运”特性的作用），你可以选择重掷或取代两粒骰其中一个。
例如，一名半身人进行一次具有优势或劣势的属性检定，并掷出1和13，则他可以使用其特性重掷骰值1的掷骰。
    通常你会因特殊能力、动作、法术而具有优势或劣势。另外，激励（见第4章）也可以使角色在进行关于个人特点、理想或牵绊的检定时具有优势。而DM也可以对你的形势优劣作出判断，然后给予你相应的优势或劣势。</t>
        </r>
      </text>
    </comment>
    <comment ref="J27" authorId="4" shapeId="0" xr:uid="{00000000-0006-0000-0100-000010000000}">
      <text>
        <r>
          <rPr>
            <sz val="9"/>
            <rFont val="微软雅黑"/>
            <family val="2"/>
            <charset val="134"/>
          </rPr>
          <t>【特殊能力】
可用来记录职业能力
如狂暴、气、引导神力等...</t>
        </r>
      </text>
    </comment>
    <comment ref="R27" authorId="4" shapeId="0" xr:uid="{00000000-0006-0000-0100-000011000000}">
      <text>
        <r>
          <rPr>
            <sz val="9"/>
            <rFont val="微软雅黑"/>
            <family val="2"/>
            <charset val="134"/>
          </rPr>
          <t>【特殊能力】
可用来记录职业能力
如狂暴、气、引导神力等...</t>
        </r>
      </text>
    </comment>
    <comment ref="B31" authorId="1" shapeId="0" xr:uid="{00000000-0006-0000-0100-000012000000}">
      <text>
        <r>
          <rPr>
            <sz val="9"/>
            <rFont val="微软雅黑"/>
            <family val="2"/>
            <charset val="134"/>
          </rPr>
          <t>X=无熟练
O=有熟练
🅞=双倍熟练</t>
        </r>
      </text>
    </comment>
    <comment ref="C31" authorId="0" shapeId="0" xr:uid="{00000000-0006-0000-0100-000013000000}">
      <text>
        <r>
          <rPr>
            <sz val="9"/>
            <rFont val="微软雅黑"/>
            <family val="2"/>
            <charset val="134"/>
          </rPr>
          <t>涵盖了进行攀爬、跳跃、游泳时遇上的困难情况。其范例如下：
你尝试攀爬陡坡或滑坡或者在攀爬的同时回避危害物，又或者在有东西想撞开你的情况下抓紧壁面。
你尝试跳跃非常远的距离或在跳跃中施展花式。
你尝试在凶险的水流，风暴浪涛或水草海域中挣扎游泳或浮出水面。或者其他生物试图将你推下水，或拉入水中，又或者以其他方式阻碍你游泳。</t>
        </r>
      </text>
    </comment>
    <comment ref="C33" authorId="0" shapeId="0" xr:uid="{00000000-0006-0000-0100-000014000000}">
      <text>
        <r>
          <rPr>
            <sz val="9"/>
            <rFont val="微软雅黑"/>
            <family val="2"/>
            <charset val="134"/>
          </rPr>
          <t>敏捷（体操）检定涵盖了在冰块上奔跑，在绳索上平衡，在摇曳甲板上站稳等需要保持平衡的情况。
也可用敏捷（体操）检定来判定你能否完成体操特技，如前翻、侧翻、空翻、后翻等。</t>
        </r>
      </text>
    </comment>
    <comment ref="C34" authorId="0" shapeId="0" xr:uid="{00000000-0006-0000-0100-000015000000}">
      <text>
        <r>
          <rPr>
            <sz val="9"/>
            <rFont val="微软雅黑"/>
            <family val="2"/>
            <charset val="134"/>
          </rPr>
          <t>当你尝试施行障眼法或巧手时（如把一些东西放在他人身上，或者将一件东西藏在自已身上），进行一次敏捷（巧手）检定。
也可用敏捷（巧手）检定以判定你是否能从其他人的钱包或口袋中摸鱼。</t>
        </r>
      </text>
    </comment>
    <comment ref="C35" authorId="0" shapeId="0" xr:uid="{00000000-0006-0000-0100-000016000000}">
      <text>
        <r>
          <rPr>
            <sz val="9"/>
            <rFont val="微软雅黑"/>
            <family val="2"/>
            <charset val="134"/>
          </rPr>
          <t>你尝试躲起避过敌人，躲过守卫，偷偷溜走，无声息地绕到某人背后时，进行一次敏捷（隐匿）检定。</t>
        </r>
      </text>
    </comment>
    <comment ref="I35" authorId="0" shapeId="0" xr:uid="{00000000-0006-0000-0100-000017000000}">
      <text>
        <r>
          <rPr>
            <sz val="9"/>
            <rFont val="微软雅黑"/>
            <family val="2"/>
            <charset val="134"/>
          </rPr>
          <t xml:space="preserve">躲藏
    DM可以决定情况是否允许进行躲藏。
当你尝试躲藏时，可以进行一个敏捷（隐匿）检定。
此后，直到你被发现或主动停止躲藏为止，该检定的总值将作为一个固定的对抗值存在。
而任何主动以感知（察觉）检定搜索你的生物，都将用其检定值与你该固定值作对抗，以判定是否发现你的存在。
    你不能针对一个可以清楚看见你的生物进行躲藏，而你一旦发出声响（如大声发出警告，或踢破一个罐子）也会立即暴露你的位置。
隐形中的生物可以随时尝试躲藏。
尽管其踪迹依然可能会被注意到，但只要保持安静就不会轻易暴露自己的位置。
    大多数生物在战斗中会对周围的危险保持警觉，因此如果你在躲藏中接近某生物，通常会被立即发现。
尽管如此，某种情况下DM也可能会允许你针对被分心的生物保持隐藏，并在被发现前让你进行一个具有优势的攻击检定。
被动察觉
    你在躲藏时，某些生物就算不主动搜索依然可以注意到你。
DM可以用你的敏捷（隐匿）检定与其他生物的被动感知（察觉）值作对抗，同时加上其他加值或减值。
生物具有优势时，其分值加5，劣势则减5。
</t>
        </r>
      </text>
    </comment>
    <comment ref="C37" authorId="0" shapeId="0" xr:uid="{00000000-0006-0000-0100-000018000000}">
      <text>
        <r>
          <rPr>
            <sz val="9"/>
            <rFont val="微软雅黑"/>
            <family val="2"/>
            <charset val="134"/>
          </rPr>
          <t>当你到处嗅探线索并以此进行推理时，进行一次智力（调查）检定。
你可能要推断隐藏物件的位置，或从伤口的外观判断它由什么武器造成，又或者找出一条隧道的结构性弱点。
在一堆古书卷中寻找一段隐藏的知识也可能需要进行一次智力（调查）检定。</t>
        </r>
      </text>
    </comment>
    <comment ref="C38" authorId="0" shapeId="0" xr:uid="{00000000-0006-0000-0100-000019000000}">
      <text>
        <r>
          <rPr>
            <sz val="9"/>
            <rFont val="微软雅黑"/>
            <family val="2"/>
            <charset val="134"/>
          </rPr>
          <t>你的智力（奥秘）检定量化你忆起关于法术、魔法物品、奥秘符文、魔法派系、位面、位面住民等相关知识的能力。</t>
        </r>
      </text>
    </comment>
    <comment ref="C39" authorId="0" shapeId="0" xr:uid="{00000000-0006-0000-0100-00001A000000}">
      <text>
        <r>
          <rPr>
            <sz val="9"/>
            <rFont val="微软雅黑"/>
            <family val="2"/>
            <charset val="134"/>
          </rPr>
          <t>你的智力（历史）检定量化你忆起关于历史事件、传奇人物、古王国、昔日纠纷、近代战争、失落文明等相关知识的能力。</t>
        </r>
      </text>
    </comment>
    <comment ref="C40" authorId="0" shapeId="0" xr:uid="{00000000-0006-0000-0100-00001B000000}">
      <text>
        <r>
          <rPr>
            <sz val="9"/>
            <rFont val="微软雅黑"/>
            <family val="2"/>
            <charset val="134"/>
          </rPr>
          <t>你的智力（自然）检定量化你忆起关于地势、动植物、气候、自然周期相关知识的能力。</t>
        </r>
      </text>
    </comment>
    <comment ref="C41" authorId="0" shapeId="0" xr:uid="{00000000-0006-0000-0100-00001C000000}">
      <text>
        <r>
          <rPr>
            <sz val="9"/>
            <rFont val="微软雅黑"/>
            <family val="2"/>
            <charset val="134"/>
          </rPr>
          <t>你的智力（宗教）检定量化你回忆神祇、仪式和祷告、宗教阶级、圣徽、秘密组织风俗等知识的能力。</t>
        </r>
      </text>
    </comment>
    <comment ref="C43" authorId="0" shapeId="0" xr:uid="{00000000-0006-0000-0100-00001D000000}">
      <text>
        <r>
          <rPr>
            <sz val="9"/>
            <rFont val="微软雅黑"/>
            <family val="2"/>
            <charset val="134"/>
          </rPr>
          <t>使用感知（察觉）检定让你可以看到，听到或以其他方式察觉到某些东西的存在。
它代表你对周围环境的警觉性，以及你感官的敏锐度。
例如，偷听门后的对话，或者在窗外窃听，又或者听到在林中静静移动的生物。
你也可以尝试看清被遮蔽或容易看走眼的东西，如在前方埋伏的兽人，躲在暗巷的痞子，或是从密门的门缝间漏出的烛光。</t>
        </r>
      </text>
    </comment>
    <comment ref="I43" authorId="0" shapeId="0" xr:uid="{00000000-0006-0000-0100-00001E000000}">
      <text>
        <r>
          <rPr>
            <sz val="9"/>
            <rFont val="微软雅黑"/>
            <family val="2"/>
            <charset val="134"/>
          </rPr>
          <t>寻找隐藏物件
    当你的角色搜索密门或者陷阱等隐藏物件时，一般会要求你进行一次感知（察觉）检定。
该检定用于寻找一些平时被忽视的蛛丝马迹，以从中获得更多的细节信息。</t>
        </r>
      </text>
    </comment>
    <comment ref="C44" authorId="0" shapeId="0" xr:uid="{00000000-0006-0000-0100-00001F000000}">
      <text>
        <r>
          <rPr>
            <sz val="9"/>
            <rFont val="微软雅黑"/>
            <family val="2"/>
            <charset val="134"/>
          </rPr>
          <t>感知（洞悉）检定决定你是否能辨别另一人的真实意图，例如辨别谎言或预测其下一步行动。
你需要理解对方的肢体语言、言谈举止、态度转变等，再察觉其中的含义。</t>
        </r>
      </text>
    </comment>
    <comment ref="C45" authorId="0" shapeId="0" xr:uid="{00000000-0006-0000-0100-000020000000}">
      <text>
        <r>
          <rPr>
            <sz val="9"/>
            <rFont val="微软雅黑"/>
            <family val="2"/>
            <charset val="134"/>
          </rPr>
          <t>当不确定你是否能驯服一只牲畜，安抚坐骑使其免受惊吓，或者推断出动物的意向时，进行一次感知（驯兽）检定。
骑乘时，如果你尝试作出一些危险动作，也会需要进行一次感知（驯兽）检定去控制你的坐骑。</t>
        </r>
      </text>
    </comment>
    <comment ref="C46" authorId="0" shapeId="0" xr:uid="{00000000-0006-0000-0100-000021000000}">
      <text>
        <r>
          <rPr>
            <sz val="9"/>
            <rFont val="微软雅黑"/>
            <family val="2"/>
            <charset val="134"/>
          </rPr>
          <t>感知（医药）检定让你可以尝试稳定濒死战友的伤势或者诊断病症。</t>
        </r>
      </text>
    </comment>
    <comment ref="C47" authorId="0" shapeId="0" xr:uid="{00000000-0006-0000-0100-000022000000}">
      <text>
        <r>
          <rPr>
            <sz val="9"/>
            <rFont val="微软雅黑"/>
            <family val="2"/>
            <charset val="134"/>
          </rPr>
          <t>当你需要追踪，狩猎，引导队伍穿过冰原，辨认附近枭熊踪迹，预测天气，回避流沙或其他自然危害物时，可能会要求你进行一次感知（生存）检定。</t>
        </r>
      </text>
    </comment>
    <comment ref="C49" authorId="0" shapeId="0" xr:uid="{00000000-0006-0000-0100-000023000000}">
      <text>
        <r>
          <rPr>
            <sz val="9"/>
            <rFont val="微软雅黑"/>
            <family val="2"/>
            <charset val="134"/>
          </rPr>
          <t>当你尝试圆滑、优雅、善意地游说某人或某些人时，可能会要求你进行一次魅力（说服）检定。
通常你会用游说去表示信任，促进友谊，诚恳地请求，或展示恰当的礼仪。
例子包括说服官务大臣让你跟国王会面，商谈多族间的和平契约，或激励一帮村民。</t>
        </r>
      </text>
    </comment>
    <comment ref="AG49" authorId="3" shapeId="0" xr:uid="{00000000-0006-0000-0100-000024000000}">
      <text>
        <r>
          <rPr>
            <sz val="9"/>
            <rFont val="微软雅黑"/>
            <family val="2"/>
            <charset val="134"/>
          </rPr>
          <t>金币是度量财富的标准单位
一枚钱币的重量大约有三分之一盎司，50枚钱币则大约有一磅沉。</t>
        </r>
      </text>
    </comment>
    <comment ref="AN49" authorId="3" shapeId="0" xr:uid="{00000000-0006-0000-0100-000025000000}">
      <text>
        <r>
          <rPr>
            <sz val="9"/>
            <rFont val="微软雅黑"/>
            <family val="2"/>
            <charset val="134"/>
          </rPr>
          <t>一枚铂金币价值十枚金币</t>
        </r>
      </text>
    </comment>
    <comment ref="C50" authorId="0" shapeId="0" xr:uid="{00000000-0006-0000-0100-000026000000}">
      <text>
        <r>
          <rPr>
            <sz val="9"/>
            <rFont val="微软雅黑"/>
            <family val="2"/>
            <charset val="134"/>
          </rPr>
          <t>魅力（欺诈）检定决定你能否可信地以言语或动作隐暪真相。
由模棱两可地误导人到弥天大谎都包括在内。
常见情况包括暪过守卫、骗过商人、从赌局赚钱、以易容暪天过海、安抚他人的怀疑、带着朴克脸撒大谎等。</t>
        </r>
      </text>
    </comment>
    <comment ref="AG50" authorId="3" shapeId="0" xr:uid="{00000000-0006-0000-0100-000027000000}">
      <text>
        <r>
          <rPr>
            <sz val="9"/>
            <rFont val="微软雅黑"/>
            <family val="2"/>
            <charset val="134"/>
          </rPr>
          <t>一枚金银币价值五枚银币，即半枚金币</t>
        </r>
      </text>
    </comment>
    <comment ref="C51" authorId="0" shapeId="0" xr:uid="{00000000-0006-0000-0100-000028000000}">
      <text>
        <r>
          <rPr>
            <sz val="9"/>
            <rFont val="微软雅黑"/>
            <family val="2"/>
            <charset val="134"/>
          </rPr>
          <t>当你尝试用威胁、敌对行为、暴力等使他人改变心意时，进行一次魅力（威吓）检定。
例子包括迫供、吓退痞子、用破瓶的利口“说服”高官三思等。</t>
        </r>
      </text>
    </comment>
    <comment ref="V51" authorId="4" shapeId="0" xr:uid="{00000000-0006-0000-0100-000029000000}">
      <text>
        <r>
          <rPr>
            <sz val="9"/>
            <rFont val="微软雅黑"/>
            <family val="2"/>
            <charset val="134"/>
          </rPr>
          <t>未使用负重变体时，选择最大载重以确认载重上限。
使用负重变体时，选择负重状态以确认载重状态。</t>
        </r>
      </text>
    </comment>
    <comment ref="AG51" authorId="3" shapeId="0" xr:uid="{00000000-0006-0000-0100-00002A000000}">
      <text>
        <r>
          <rPr>
            <sz val="9"/>
            <rFont val="微软雅黑"/>
            <family val="2"/>
            <charset val="134"/>
          </rPr>
          <t>十枚银币值一枚金币</t>
        </r>
      </text>
    </comment>
    <comment ref="C52" authorId="0" shapeId="0" xr:uid="{00000000-0006-0000-0100-00002B000000}">
      <text>
        <r>
          <rPr>
            <sz val="9"/>
            <rFont val="微软雅黑"/>
            <family val="2"/>
            <charset val="134"/>
          </rPr>
          <t>你的魅力（表演）检定决定你能多好地用音乐，舞蹈，扮演，卖艺，说书，或其他方式娱乐观众。</t>
        </r>
      </text>
    </comment>
    <comment ref="AG52" authorId="3" shapeId="0" xr:uid="{00000000-0006-0000-0100-00002C000000}">
      <text>
        <r>
          <rPr>
            <sz val="9"/>
            <rFont val="微软雅黑"/>
            <family val="2"/>
            <charset val="134"/>
          </rPr>
          <t>十枚铜币值一枚银币
一百枚铜币值一枚金币</t>
        </r>
      </text>
    </comment>
    <comment ref="P54" authorId="1" shapeId="0" xr:uid="{00000000-0006-0000-0100-00002D000000}">
      <text>
        <r>
          <rPr>
            <sz val="9"/>
            <rFont val="微软雅黑"/>
            <family val="2"/>
            <charset val="134"/>
          </rPr>
          <t>因种族特性，专长，职业特性而无需消耗环位释放的法术，可以在此处记录（如因精类触碰而获得的迷踪步）</t>
        </r>
      </text>
    </comment>
    <comment ref="X54" authorId="1" shapeId="0" xr:uid="{00000000-0006-0000-0100-00002E000000}">
      <text>
        <r>
          <rPr>
            <sz val="9"/>
            <rFont val="宋体"/>
            <family val="3"/>
            <charset val="134"/>
          </rPr>
          <t>此功能需要将已知法术录入法术书中</t>
        </r>
      </text>
    </comment>
    <comment ref="B73" authorId="1" shapeId="0" xr:uid="{00000000-0006-0000-0100-00002F000000}">
      <text>
        <r>
          <rPr>
            <sz val="9"/>
            <rFont val="宋体"/>
            <family val="3"/>
            <charset val="134"/>
          </rPr>
          <t>此处下拉栏选择的法术为已录入法术书中的法术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Killer Queen</author>
  </authors>
  <commentList>
    <comment ref="W3" authorId="0" shapeId="0" xr:uid="{365A82A2-EED9-4392-8B71-8224CD59E1F1}">
      <text>
        <r>
          <rPr>
            <sz val="9"/>
            <color indexed="81"/>
            <rFont val="宋体"/>
            <family val="3"/>
            <charset val="134"/>
          </rPr>
          <t>单位为磅，同时无需填入单位</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<sst xmlns="http://schemas.openxmlformats.org/spreadsheetml/2006/main" count="11952" uniqueCount="4728">
  <si>
    <t>人物背景 Background</t>
  </si>
  <si>
    <t>角色名</t>
  </si>
  <si>
    <t>背景装备</t>
  </si>
  <si>
    <t>人物形象</t>
  </si>
  <si>
    <t>玩家</t>
  </si>
  <si>
    <t>故乡</t>
  </si>
  <si>
    <t>背景描述</t>
  </si>
  <si>
    <t>背景</t>
  </si>
  <si>
    <t>年龄</t>
  </si>
  <si>
    <t>身高</t>
  </si>
  <si>
    <t>性别</t>
  </si>
  <si>
    <t>体重</t>
  </si>
  <si>
    <t>人物立绘</t>
  </si>
  <si>
    <t>个性</t>
  </si>
  <si>
    <t>背景获利</t>
  </si>
  <si>
    <t>属性值</t>
  </si>
  <si>
    <t>理念</t>
  </si>
  <si>
    <t>专长</t>
  </si>
  <si>
    <t>羁绊</t>
  </si>
  <si>
    <t>技能熟练</t>
  </si>
  <si>
    <t>缺陷</t>
  </si>
  <si>
    <t>工具熟练</t>
  </si>
  <si>
    <t>背景故事</t>
  </si>
  <si>
    <t>DND 5E2024 人物卡&lt;悲灵v1.0.0&gt;</t>
  </si>
  <si>
    <t>生命值小工具</t>
  </si>
  <si>
    <t>生命骰使用期望</t>
  </si>
  <si>
    <t>是</t>
  </si>
  <si>
    <t>种族特性</t>
  </si>
  <si>
    <t>1级</t>
  </si>
  <si>
    <t>2级</t>
  </si>
  <si>
    <t>3级</t>
  </si>
  <si>
    <t>4级</t>
  </si>
  <si>
    <t>5级</t>
  </si>
  <si>
    <t>6级</t>
  </si>
  <si>
    <t>7级</t>
  </si>
  <si>
    <t>8级</t>
  </si>
  <si>
    <t>9级</t>
  </si>
  <si>
    <t>10级</t>
  </si>
  <si>
    <t>名称</t>
  </si>
  <si>
    <t>描述</t>
  </si>
  <si>
    <t>熟练</t>
  </si>
  <si>
    <t>修正</t>
  </si>
  <si>
    <t>&lt;</t>
  </si>
  <si>
    <t>11级</t>
  </si>
  <si>
    <t>12级</t>
  </si>
  <si>
    <t>13级</t>
  </si>
  <si>
    <t>14级</t>
  </si>
  <si>
    <t>15级</t>
  </si>
  <si>
    <t>16级</t>
  </si>
  <si>
    <t>17级</t>
  </si>
  <si>
    <t>18级</t>
  </si>
  <si>
    <t>19级</t>
  </si>
  <si>
    <t>20级</t>
  </si>
  <si>
    <t>主职</t>
  </si>
  <si>
    <t>子职</t>
  </si>
  <si>
    <t>Lv</t>
  </si>
  <si>
    <t>主职业</t>
  </si>
  <si>
    <t>种族</t>
  </si>
  <si>
    <t>额外调整值</t>
  </si>
  <si>
    <t>生命总值</t>
  </si>
  <si>
    <t>仅需填入每级生命骰结果
自动结算等级与体质调整值</t>
  </si>
  <si>
    <t>兼职1</t>
  </si>
  <si>
    <t>亚种</t>
  </si>
  <si>
    <t>兼职2</t>
  </si>
  <si>
    <t>阵营</t>
  </si>
  <si>
    <t>经验值</t>
  </si>
  <si>
    <t>信仰</t>
  </si>
  <si>
    <t>职业能力</t>
  </si>
  <si>
    <t>等级</t>
  </si>
  <si>
    <t xml:space="preserve">   名称</t>
  </si>
  <si>
    <t>属性</t>
  </si>
  <si>
    <t>总值</t>
  </si>
  <si>
    <t>初始值</t>
  </si>
  <si>
    <t>成长</t>
  </si>
  <si>
    <t>调整值</t>
  </si>
  <si>
    <t>豁免</t>
  </si>
  <si>
    <t>X</t>
  </si>
  <si>
    <t>力量</t>
  </si>
  <si>
    <t>&gt;</t>
  </si>
  <si>
    <t>敏捷</t>
  </si>
  <si>
    <t>体质</t>
  </si>
  <si>
    <t>智力</t>
  </si>
  <si>
    <t>感知</t>
  </si>
  <si>
    <t>魅力</t>
  </si>
  <si>
    <t>战斗</t>
  </si>
  <si>
    <t>持有英雄激励</t>
  </si>
  <si>
    <t>否</t>
  </si>
  <si>
    <t>Now</t>
  </si>
  <si>
    <t>Max</t>
  </si>
  <si>
    <t>先攻</t>
  </si>
  <si>
    <t>HP</t>
  </si>
  <si>
    <t>/</t>
  </si>
  <si>
    <t>临时
HP</t>
  </si>
  <si>
    <t>AC</t>
  </si>
  <si>
    <t>HD</t>
  </si>
  <si>
    <t>画像</t>
  </si>
  <si>
    <t>盾牌</t>
  </si>
  <si>
    <t>抗性</t>
  </si>
  <si>
    <t>DC</t>
  </si>
  <si>
    <t>体型</t>
  </si>
  <si>
    <t>中型</t>
  </si>
  <si>
    <t>速度</t>
  </si>
  <si>
    <t>免疫</t>
  </si>
  <si>
    <t>DC属性</t>
  </si>
  <si>
    <t>特殊能力</t>
  </si>
  <si>
    <t>优势</t>
  </si>
  <si>
    <t>被动察觉</t>
  </si>
  <si>
    <t>劣势</t>
  </si>
  <si>
    <t>技能</t>
  </si>
  <si>
    <t>万事通</t>
  </si>
  <si>
    <t>装备</t>
  </si>
  <si>
    <t>已同调的装备</t>
  </si>
  <si>
    <t>武器攻击属性</t>
  </si>
  <si>
    <t>默认</t>
  </si>
  <si>
    <t>力量系</t>
  </si>
  <si>
    <t>护甲</t>
  </si>
  <si>
    <t>同调</t>
  </si>
  <si>
    <t>加值</t>
  </si>
  <si>
    <t>特性</t>
  </si>
  <si>
    <t>重量</t>
  </si>
  <si>
    <t>敏捷加值</t>
  </si>
  <si>
    <t>运动</t>
  </si>
  <si>
    <t>+</t>
  </si>
  <si>
    <t>战斗风格专长</t>
  </si>
  <si>
    <t>敏捷系</t>
  </si>
  <si>
    <t>武器</t>
  </si>
  <si>
    <t>武器名称</t>
  </si>
  <si>
    <t>精通</t>
  </si>
  <si>
    <t>伤害类型</t>
  </si>
  <si>
    <t>弹药</t>
  </si>
  <si>
    <t>特技</t>
  </si>
  <si>
    <t>O</t>
  </si>
  <si>
    <t>箭</t>
  </si>
  <si>
    <t>巧手</t>
  </si>
  <si>
    <t>矢</t>
  </si>
  <si>
    <t>隐匿</t>
  </si>
  <si>
    <t>弹</t>
  </si>
  <si>
    <t>智力系</t>
  </si>
  <si>
    <t>投</t>
  </si>
  <si>
    <t>调查</t>
  </si>
  <si>
    <t>它</t>
  </si>
  <si>
    <t>奥秘</t>
  </si>
  <si>
    <t>其他</t>
  </si>
  <si>
    <t>历史</t>
  </si>
  <si>
    <t>自然</t>
  </si>
  <si>
    <t>宗教</t>
  </si>
  <si>
    <t>感知系</t>
  </si>
  <si>
    <t>察觉</t>
  </si>
  <si>
    <t>洞悉</t>
  </si>
  <si>
    <t>驯养</t>
  </si>
  <si>
    <t>医疗</t>
  </si>
  <si>
    <t>求生</t>
  </si>
  <si>
    <t>魅力系</t>
  </si>
  <si>
    <t>——负重&amp;财产——</t>
  </si>
  <si>
    <t>———随身钱币———</t>
  </si>
  <si>
    <t>游说</t>
  </si>
  <si>
    <t>背包1</t>
  </si>
  <si>
    <t>背包2</t>
  </si>
  <si>
    <t>总负重</t>
  </si>
  <si>
    <t>钱包</t>
  </si>
  <si>
    <t>GP</t>
  </si>
  <si>
    <t>PP</t>
  </si>
  <si>
    <t>欺诈</t>
  </si>
  <si>
    <t>EP</t>
  </si>
  <si>
    <t>总财富</t>
  </si>
  <si>
    <t>威吓</t>
  </si>
  <si>
    <t>轻载</t>
  </si>
  <si>
    <t>重载</t>
  </si>
  <si>
    <t>超载</t>
  </si>
  <si>
    <t>最大载重</t>
  </si>
  <si>
    <t>次元袋</t>
  </si>
  <si>
    <t>SP</t>
  </si>
  <si>
    <t>表演</t>
  </si>
  <si>
    <t>CP</t>
  </si>
  <si>
    <t>法术</t>
  </si>
  <si>
    <t>无消耗法术</t>
  </si>
  <si>
    <t>已准备的法术</t>
  </si>
  <si>
    <t>关键属性</t>
  </si>
  <si>
    <t>法术DC</t>
  </si>
  <si>
    <t>法术攻击骰</t>
  </si>
  <si>
    <t>法术名称</t>
  </si>
  <si>
    <t>侦测魔法</t>
  </si>
  <si>
    <t>职业归属</t>
  </si>
  <si>
    <t>可以准备的法术数量</t>
  </si>
  <si>
    <t>环阶</t>
  </si>
  <si>
    <t>法术位</t>
  </si>
  <si>
    <t>法术值</t>
  </si>
  <si>
    <t/>
  </si>
  <si>
    <t>已知戏法</t>
  </si>
  <si>
    <t>笔记</t>
  </si>
  <si>
    <t>环位合计法术值</t>
  </si>
  <si>
    <t>法术简易速查</t>
  </si>
  <si>
    <t>法术效果</t>
  </si>
  <si>
    <t>法术名</t>
  </si>
  <si>
    <t>施法距离</t>
  </si>
  <si>
    <t>施法时间</t>
  </si>
  <si>
    <t>法术系别</t>
  </si>
  <si>
    <t>持续时间</t>
  </si>
  <si>
    <t>法术成分</t>
  </si>
  <si>
    <t>适用职业</t>
  </si>
  <si>
    <t>法术书</t>
  </si>
  <si>
    <t>专注</t>
  </si>
  <si>
    <t>仪式</t>
  </si>
  <si>
    <t>准备栏</t>
  </si>
  <si>
    <t>仪</t>
  </si>
  <si>
    <t>专</t>
  </si>
  <si>
    <t>语言</t>
  </si>
  <si>
    <t>物品</t>
  </si>
  <si>
    <t>价格</t>
  </si>
  <si>
    <t>工具</t>
  </si>
  <si>
    <t>操作</t>
  </si>
  <si>
    <t>制造</t>
  </si>
  <si>
    <t>熟练加值</t>
  </si>
  <si>
    <t>CR</t>
  </si>
  <si>
    <t>无消耗</t>
  </si>
  <si>
    <t>—标准语言—</t>
  </si>
  <si>
    <t>吟游诗人</t>
  </si>
  <si>
    <t>强酸</t>
  </si>
  <si>
    <t>当你执行攻击动作时，你可以将你的一次攻击替换为丢出一小瓶强酸。你可以选择位于你20尺内可见的一个生物或物件作为目标。该目标必须通过一次敏捷豁免（DC等于8+你的敏捷调整值+你的熟练加值），否则承受2d6点强酸伤害。</t>
  </si>
  <si>
    <t>25GP</t>
  </si>
  <si>
    <t>炼金工具</t>
  </si>
  <si>
    <t>辨析一种物质（DC15），或生起一场火（DC15）</t>
  </si>
  <si>
    <t>强酸、炽火胶、材料包、燃油、纸张、香水</t>
  </si>
  <si>
    <t>50GP</t>
  </si>
  <si>
    <t>Exp</t>
  </si>
  <si>
    <t>戏法</t>
  </si>
  <si>
    <t>通用语</t>
  </si>
  <si>
    <t>牧师</t>
  </si>
  <si>
    <t>炽火胶</t>
  </si>
  <si>
    <t>当你执行攻击动作时，你可以将你的一次攻击替换为丢出一扁瓶炽火胶。你可以选择位于你20尺内可见的一个生物或物件作为目标。该目标必须通过一次敏捷豁免（DC等于8+你的敏捷调整值+你的熟练加值），否则承受1d4点火焰伤害并开始燃烧（见术语汇编）。</t>
  </si>
  <si>
    <t>酿酒工具</t>
  </si>
  <si>
    <t>检测饮品是否下毒（DC15），或辨识酒精（DC10）</t>
  </si>
  <si>
    <t>抗毒剂</t>
  </si>
  <si>
    <t>20GP</t>
  </si>
  <si>
    <t>1环</t>
  </si>
  <si>
    <t>1/8</t>
  </si>
  <si>
    <t>通用手语</t>
  </si>
  <si>
    <t>德鲁伊</t>
  </si>
  <si>
    <t>箭矢</t>
  </si>
  <si>
    <t>20支</t>
  </si>
  <si>
    <t>1GP</t>
  </si>
  <si>
    <t>书法工具</t>
  </si>
  <si>
    <t>以华丽的字迹撰写文字防止造假（DC15）</t>
  </si>
  <si>
    <t>墨水、法术卷轴</t>
  </si>
  <si>
    <t>10GP</t>
  </si>
  <si>
    <t>2环</t>
  </si>
  <si>
    <t>1/4</t>
  </si>
  <si>
    <t>龙语</t>
  </si>
  <si>
    <t>圣武士</t>
  </si>
  <si>
    <t>弩矢</t>
  </si>
  <si>
    <t>木匠工具</t>
  </si>
  <si>
    <t>封死或撬开一扇门或一个容器（DC20）</t>
  </si>
  <si>
    <t>短棒、巨棒、长棍、木桶、箱子、梯子、长杆、便携式攻城锤、火把</t>
  </si>
  <si>
    <t>8GP</t>
  </si>
  <si>
    <t>3环</t>
  </si>
  <si>
    <t>1/2</t>
  </si>
  <si>
    <t>矮人语</t>
  </si>
  <si>
    <t>游侠</t>
  </si>
  <si>
    <t>枪械子弹</t>
  </si>
  <si>
    <t>10发</t>
  </si>
  <si>
    <t>3GP</t>
  </si>
  <si>
    <t>制图工具</t>
  </si>
  <si>
    <t>为一小片区域绘制地图（DC15）</t>
  </si>
  <si>
    <t>地图</t>
  </si>
  <si>
    <t>15GP</t>
  </si>
  <si>
    <t>4环</t>
  </si>
  <si>
    <t>精灵语</t>
  </si>
  <si>
    <t>术士</t>
  </si>
  <si>
    <t>投石索子弹</t>
  </si>
  <si>
    <t>20发</t>
  </si>
  <si>
    <t>4CP</t>
  </si>
  <si>
    <t>鞋匠工具</t>
  </si>
  <si>
    <t>改造足具来为穿戴者的下一次敏捷（特技）检定提供优势（DC10）</t>
  </si>
  <si>
    <t>攀爬工具</t>
  </si>
  <si>
    <t>5GP</t>
  </si>
  <si>
    <t>5环</t>
  </si>
  <si>
    <t>巨人语</t>
  </si>
  <si>
    <t>魔契师</t>
  </si>
  <si>
    <t>吹矢</t>
  </si>
  <si>
    <t>50支</t>
  </si>
  <si>
    <t>厨师工具</t>
  </si>
  <si>
    <t>改善食物风味（DC10），检查食物是否腐坏或有毒（DC15）</t>
  </si>
  <si>
    <t>口粮</t>
  </si>
  <si>
    <t>6环</t>
  </si>
  <si>
    <t>侏儒语</t>
  </si>
  <si>
    <t>法师</t>
  </si>
  <si>
    <t>以一个附赠动作，你可以喝下一小瓶抗毒剂来使你在避免或结束中毒状态的豁免中具有优势，持续一小时。</t>
  </si>
  <si>
    <t>玻璃匠工具</t>
  </si>
  <si>
    <t>判断一个玻璃物件在过去24小时内盛过什么内容物（DC15）</t>
  </si>
  <si>
    <t>玻璃瓶、放大镜、望远镜、小瓶</t>
  </si>
  <si>
    <t>30GP</t>
  </si>
  <si>
    <t>7环</t>
  </si>
  <si>
    <t>戏法1</t>
  </si>
  <si>
    <t>地精语</t>
  </si>
  <si>
    <t>水晶</t>
  </si>
  <si>
    <t>奥术法器是一种利用宝石或是雕刻来引导奥术魔法的物品，它会以下列奥术法器列表中的一种形式存在。术士、魔契师和法师可以使用这种物品作为法器。</t>
  </si>
  <si>
    <t>珠宝匠工具</t>
  </si>
  <si>
    <t>判断珠宝价值（DC15）</t>
  </si>
  <si>
    <t>奥术法器、圣徽</t>
  </si>
  <si>
    <t>8环</t>
  </si>
  <si>
    <t>半身人语</t>
  </si>
  <si>
    <t>法球</t>
  </si>
  <si>
    <t>皮匠工具</t>
  </si>
  <si>
    <t>对一个皮制品进行图案设计（DC10）</t>
  </si>
  <si>
    <t>投石索、鞭子、兽皮甲、皮甲、镶钉皮甲、背包、弩矢匣、地图或卷轴匣、羊皮纸、小包、箭袋、水袋</t>
  </si>
  <si>
    <t>9环</t>
  </si>
  <si>
    <t>兽人语</t>
  </si>
  <si>
    <t>权杖</t>
  </si>
  <si>
    <t>石匠工具</t>
  </si>
  <si>
    <t>在石头上凿出一个符号标志或一个洞（DC10）</t>
  </si>
  <si>
    <t>滑轮组</t>
  </si>
  <si>
    <t>—稀有语言—</t>
  </si>
  <si>
    <t>法杖（也视作长棍）</t>
  </si>
  <si>
    <t>画家工具</t>
  </si>
  <si>
    <t>画出你所见过的某个事物的可辨图像（DC10）</t>
  </si>
  <si>
    <t>德鲁伊法器、圣徽</t>
  </si>
  <si>
    <t>深渊语</t>
  </si>
  <si>
    <t>魔杖</t>
  </si>
  <si>
    <t>陶匠工具</t>
  </si>
  <si>
    <t>判断一个陶瓷物件在过去24小时内盛过什么内容物（DC15）</t>
  </si>
  <si>
    <t>壶、灯</t>
  </si>
  <si>
    <t>戏法2</t>
  </si>
  <si>
    <t>天界语</t>
  </si>
  <si>
    <t>背包</t>
  </si>
  <si>
    <t>一个背包最多能装入30磅重1立方尺大的东西。背包也能当作鞍囊使用。</t>
  </si>
  <si>
    <t>2GP</t>
  </si>
  <si>
    <t>铁匠工具</t>
  </si>
  <si>
    <t>撬开一扇门或容器（DC20）</t>
  </si>
  <si>
    <t>任意近战武器（除了短棒，巨棒，长棍和鞭子）、中甲（除了兽皮甲）、重甲、滚珠、吊桶、铁蒺藜、链条、撬棍、枪械子弹、爪钩、铁壶、铁钉、投石索子弹</t>
  </si>
  <si>
    <t>深潜语</t>
  </si>
  <si>
    <t>滚珠</t>
  </si>
  <si>
    <t>以一个操作动作，你能把一小包滚珠撒至地面，并覆盖你周围10尺内的一处10尺方形区域。任何生物每回合首次进入这片区域时都必须通过一次DC10的敏捷豁免，否则陷入倒地状态。重新收集这些滚珠需要花费10分钟时间。</t>
  </si>
  <si>
    <t>修补工具</t>
  </si>
  <si>
    <t>将过去一分钟内碎成数块的微型物件集齐并修好（DC20）</t>
  </si>
  <si>
    <t>火铳、手铳、铃铛、牛眼提灯、扁瓶、附盖提灯、捕猎陷阱、锁、镣铐、镜子、铲子、信号笛、火绒盒</t>
  </si>
  <si>
    <t>微型</t>
  </si>
  <si>
    <t>德鲁伊语</t>
  </si>
  <si>
    <t>木桶</t>
  </si>
  <si>
    <t>一个木桶能够至多装入40加仑的液体或4立方尺的干燥货物。</t>
  </si>
  <si>
    <t>织布工具</t>
  </si>
  <si>
    <t>修补衣服上的破口（DC10），或是缝制一个微型图案（DC10）</t>
  </si>
  <si>
    <t>布甲、篮子、铺盖、毯子、高档服装、捕网、长袍、绳索、麻袋、细绳、帐篷、旅行服装</t>
  </si>
  <si>
    <t>小型</t>
  </si>
  <si>
    <t>炼狱语</t>
  </si>
  <si>
    <t>篮子</t>
  </si>
  <si>
    <t>一个篮子能够至多装入40磅重2立方尺大的东西。</t>
  </si>
  <si>
    <t>4SP</t>
  </si>
  <si>
    <t>木雕工具</t>
  </si>
  <si>
    <t>在木头上雕刻图案（DC10）</t>
  </si>
  <si>
    <t>短棒、巨棒、长棍、远程武器（除了手铳、火铳和投石索）、奥术法器、弩矢、德鲁伊法器、墨水笔、吹矢</t>
  </si>
  <si>
    <t>原初语</t>
  </si>
  <si>
    <t>铺盖</t>
  </si>
  <si>
    <t>一卷铺盖能睡下一个小型或中型生物。躺在铺盖中时，你自动通过抵抗极寒的豁免检定（详见地下城主指南）。</t>
  </si>
  <si>
    <t>易容工具</t>
  </si>
  <si>
    <t>化妆（DC10）</t>
  </si>
  <si>
    <t>戏服</t>
  </si>
  <si>
    <t>大型</t>
  </si>
  <si>
    <t>列1</t>
  </si>
  <si>
    <t>木族语</t>
  </si>
  <si>
    <t>铃铛</t>
  </si>
  <si>
    <t>以一个操作动作，你可以摇响一个铃铛，铃铛会发出60尺内都能够听到的声音。</t>
  </si>
  <si>
    <t>文书伪造工具</t>
  </si>
  <si>
    <t>模仿其他人的笔迹，至多10个单词（DC15），或伪造一份火漆（DC20）</t>
  </si>
  <si>
    <t>-</t>
  </si>
  <si>
    <t>巨型</t>
  </si>
  <si>
    <t>盗贼黑话</t>
  </si>
  <si>
    <t>毯子</t>
  </si>
  <si>
    <t>包裹在毯子中期间，你在抵抗极寒的豁免检定上具有优势（详见地下城主指南）。</t>
  </si>
  <si>
    <t>5SP</t>
  </si>
  <si>
    <t>赌具（多种）</t>
  </si>
  <si>
    <t>判断某人是否作弊（DC10），或赢取游戏（DC20）</t>
  </si>
  <si>
    <t>超巨型</t>
  </si>
  <si>
    <t>地底通用语</t>
  </si>
  <si>
    <t>滑轮组允许你提起你正常能提动的四倍重量的物品。</t>
  </si>
  <si>
    <t>骰子</t>
  </si>
  <si>
    <t>判断某人是否作弊（DC10），或赢取游戏（DC21）</t>
  </si>
  <si>
    <t>1SP</t>
  </si>
  <si>
    <t>书籍</t>
  </si>
  <si>
    <t>龙棋</t>
  </si>
  <si>
    <t>判断某人是否作弊（DC10），或赢取游戏（DC22）</t>
  </si>
  <si>
    <t>装备同调数量</t>
  </si>
  <si>
    <t>玻璃瓶</t>
  </si>
  <si>
    <t>一个玻璃瓶至多能装入1.5品脱的东西。</t>
  </si>
  <si>
    <t>纸牌</t>
  </si>
  <si>
    <t>判断某人是否作弊（DC10），或赢取游戏（DC23）</t>
  </si>
  <si>
    <t>吊桶</t>
  </si>
  <si>
    <t>一个吊桶能装入至多半立方尺的东西。</t>
  </si>
  <si>
    <t>5CP</t>
  </si>
  <si>
    <t>三龙牌</t>
  </si>
  <si>
    <t>判断某人是否作弊（DC10），或赢取游戏（DC24）</t>
  </si>
  <si>
    <t>窃贼套组</t>
  </si>
  <si>
    <t>窃贼套组包含以下物品：背包、滚珠、铃铛、10根蜡烛、撬棍、附盖提灯、7扁瓶燃油、五天份的口粮、绳索、火绒盒和水袋。</t>
  </si>
  <si>
    <t>16GP</t>
  </si>
  <si>
    <t>草药工具</t>
  </si>
  <si>
    <t>辨认植物（DC10）</t>
  </si>
  <si>
    <t>抗毒剂、蜡烛、医疗包、治疗药水</t>
  </si>
  <si>
    <t>铁蒺藜</t>
  </si>
  <si>
    <t>以一个操作动作，你能把一包铁蒺撒至地面并覆盖你周围5尺内的一处5尺方形区域。任何生物每回合首次进入这片区域时都必须通过一次DC15的敏捷豁免，否则受到1点穿刺伤害，并且移速降至0，直到其下一回合开始为止。重新收集这些铁蒺藜需要花费10分钟时间。</t>
  </si>
  <si>
    <t>乐器（多类）</t>
  </si>
  <si>
    <t>演奏一个熟知的曲调（DC10），或是演奏一首即兴的乐曲（DC15）</t>
  </si>
  <si>
    <t>列2</t>
  </si>
  <si>
    <t>蜡烛</t>
  </si>
  <si>
    <t>一根蜡烛可以燃烧1小时，并发出5尺范围的明亮光照，以及额外5尺的微光光照。</t>
  </si>
  <si>
    <t>1CP</t>
  </si>
  <si>
    <t>风笛</t>
  </si>
  <si>
    <t>演奏一个熟知的曲调（DC10），或是演奏一首即兴的乐曲（DC16）</t>
  </si>
  <si>
    <t>弩矢匣</t>
  </si>
  <si>
    <t>一个弩矢匣至多能存放20根弩矢。</t>
  </si>
  <si>
    <t>鼓</t>
  </si>
  <si>
    <t>演奏一个熟知的曲调（DC10），或是演奏一首即兴的乐曲（DC17）</t>
  </si>
  <si>
    <t>6GP</t>
  </si>
  <si>
    <t>地图或卷轴匣</t>
  </si>
  <si>
    <t>一个地图或卷轴匣至多能存放10张纸张或5张羊皮纸。</t>
  </si>
  <si>
    <t>扬琴</t>
  </si>
  <si>
    <t>演奏一个熟知的曲调（DC10），或是演奏一首即兴的乐曲（DC18）</t>
  </si>
  <si>
    <t>链条</t>
  </si>
  <si>
    <t>以一个操作动作，你可以进行一次DC13的力量（运动）检定。如果该检定成功，你能利用链条捆住一个位于你5尺内的非自愿生物，但该生物必须处于受擒、失能或束缚状态。如果你绑住了该生物的腿，该生物陷入束缚状态，直至挣脱。挣脱链条需要该生物使用动作来通过一次DC18的敏捷（特技）检定。扯坏链条需要该生物使用动作来通过一次DC20的力量（运动）检定。</t>
  </si>
  <si>
    <t>长笛</t>
  </si>
  <si>
    <t>演奏一个熟知的曲调（DC10），或是演奏一首即兴的乐曲（DC19）</t>
  </si>
  <si>
    <t>箱子</t>
  </si>
  <si>
    <t>一个箱子至多能装入12立方尺的东西。</t>
  </si>
  <si>
    <t>号角</t>
  </si>
  <si>
    <t>演奏一个熟知的曲调（DC10），或是演奏一首即兴的乐曲（DC20）</t>
  </si>
  <si>
    <t>一套攀爬工具包含鞋子包头、手套、岩钉和系带。以一个操作动作，你可以使用攀爬工具锚定自己，此时你不会从锚定处摔落超过25尺，且在使用附赠动作解除锚定前无法从锚定处向外移动超过25尺。</t>
  </si>
  <si>
    <t>鲁特琴</t>
  </si>
  <si>
    <t>演奏一个熟知的曲调（DC10），或是演奏一首即兴的乐曲（DC21）</t>
  </si>
  <si>
    <t>35GP</t>
  </si>
  <si>
    <t>高档服装</t>
  </si>
  <si>
    <t>高档服装使用昂贵的材料和装饰物制成，并缝制着极其精密的细节。有些活动和场合仅允许穿着高档服装的人参与。</t>
  </si>
  <si>
    <t>里拉琴</t>
  </si>
  <si>
    <t>演奏一个熟知的曲调（DC10），或是演奏一首即兴的乐曲（DC22）</t>
  </si>
  <si>
    <t>旅行服装</t>
  </si>
  <si>
    <t>旅行服装是为应对在多种环境中的旅途而设计的结实服装。</t>
  </si>
  <si>
    <t>排箫</t>
  </si>
  <si>
    <t>演奏一个熟知的曲调（DC10），或是演奏一首即兴的乐曲（DC23）</t>
  </si>
  <si>
    <t>12GP</t>
  </si>
  <si>
    <t>材料包</t>
  </si>
  <si>
    <t>材料包是一种装有你法术所需的一切免费材料的防水小包。</t>
  </si>
  <si>
    <t>芦笛</t>
  </si>
  <si>
    <t>演奏一个熟知的曲调（DC10），或是演奏一首即兴的乐曲（DC24）</t>
  </si>
  <si>
    <t>若你穿着对应的戏服，你为模仿他人或模仿某一类人所作的任何属性检定都具有优势。</t>
  </si>
  <si>
    <t>提琴</t>
  </si>
  <si>
    <t>演奏一个熟知的曲调（DC10），或是演奏一首即兴的乐曲（DC25）</t>
  </si>
  <si>
    <t>生存</t>
  </si>
  <si>
    <t>撬棍</t>
  </si>
  <si>
    <t>在能够撬动的地方使用撬棍可以给予你在这方面的力量检定优势。</t>
  </si>
  <si>
    <t>领航工具</t>
  </si>
  <si>
    <t>计划路线（DC10），或通过观星判断位置（DC15）</t>
  </si>
  <si>
    <t>说服</t>
  </si>
  <si>
    <t>外交套组</t>
  </si>
  <si>
    <t>外交套组包含以下物品：箱子、高档服装、墨水、5支墨水笔、油灯、2个地图或卷轴匣、4扁瓶燃油、5张纸张、5张羊皮纸、香水和火绒盒。</t>
  </si>
  <si>
    <t>39GP</t>
  </si>
  <si>
    <t>毒药工具</t>
  </si>
  <si>
    <t>侦测有毒物件（DC10）</t>
  </si>
  <si>
    <t>基础毒药</t>
  </si>
  <si>
    <t>槲寄生枝条</t>
  </si>
  <si>
    <t>德鲁伊法器是一种利用刻纹、绑带或图画来引导原初魔法的物品，它会以下列德鲁伊法器列表中的一种形式存在。德鲁伊和游侠可以使用这种物品作为法器。</t>
  </si>
  <si>
    <t>盗贼工具</t>
  </si>
  <si>
    <t>撬锁（DC15），或解除陷阱（DC15）</t>
  </si>
  <si>
    <t>木质法杖（也视作长棍）</t>
  </si>
  <si>
    <t>紫衫魔杖</t>
  </si>
  <si>
    <t>地城套组</t>
  </si>
  <si>
    <t>地城套组包含以下物品：背包、铁蒺藜、撬棍、2扁瓶燃油、10天份的口粮、绳索、火绒盒、10根火把和水袋。</t>
  </si>
  <si>
    <t>列3</t>
  </si>
  <si>
    <t>艺人套组</t>
  </si>
  <si>
    <t>艺人套组包含以下物品：背包、铺盖、铃铛、牛眼提灯、3套戏服、镜子、8扁瓶燃油、9天份的口粮、火绒盒和水袋。</t>
  </si>
  <si>
    <t>40GP</t>
  </si>
  <si>
    <t>探索套组</t>
  </si>
  <si>
    <t>探索套组包含以下物品：背包、铺盖、2扁瓶燃油、10天份的口粮、绳索、火绒盒、10根火把和水袋。</t>
  </si>
  <si>
    <t>扁瓶</t>
  </si>
  <si>
    <t>2CP</t>
  </si>
  <si>
    <t>爪钩</t>
  </si>
  <si>
    <t>以一个操作动作，你能将爪钩朝着位于自身50尺内的一处栏杆、突起的边缘或是一处能够挂住的位置扔出，并进行一次DC13的敏捷（特技）检定。如果检定成功，爪钩则成功钩在上面。如果爪钩上还连了绳子，你则可以爬上去。</t>
  </si>
  <si>
    <t>医疗包</t>
  </si>
  <si>
    <t>一个医疗包有十次使用次数。以一个操作动作，你可以花费一次使用次数用来稳定一名生命值为0的陷入昏迷的生物的伤势。你这么做时无需进行感知（医疗）检定。</t>
  </si>
  <si>
    <t>护符（佩戴或手持）</t>
  </si>
  <si>
    <t>圣徽是一种利用宝石或图画来引导神圣魔法的物品，它会以下列圣徽列表中的一种形式存在。牧师和圣武士可以用圣徽作为法器。
列表还会向玩家展示不同圣徽所需要的携带方式，例如手持、佩戴或挂载到织物上（例如披挂或横幅）或盾牌上。</t>
  </si>
  <si>
    <t>纹章（挂载到织物或盾牌上）</t>
  </si>
  <si>
    <t>圣物匣（手持）</t>
  </si>
  <si>
    <t>圣水</t>
  </si>
  <si>
    <t>当你执行攻击动作时，你可以将你的一次攻击替换为丢出一扁瓶圣水。你可以选择位于你20尺内可见的一个生物作为目标。该目标必须通过一次敏捷豁免（DC等于8+你的敏捷调整值+你的熟练加值），并且如果这个目标是邪魔或亡灵生物，失败时承受2d8点光耀伤害。</t>
  </si>
  <si>
    <t>捕猎陷阱</t>
  </si>
  <si>
    <t>以一个操作动作，你可以在某处设下捕猎陷阱。捕猎陷阱是一组带有锯齿的铁环，当一个生物踩到中心的压力板时，两边的锯齿会迅速合上。这组陷阱需要用沉重的链条固定至某个无法移动的物件上——例如大树或刺入地面的固定钉。踩到压力板的生物必须通过一次DC13的敏捷豁免，否则受到1d4点穿刺伤害，并且速度降至0，直至他的下一回合开始。直到该生物挣脱陷阱前，它的移动范围会被链条的长度限制（通常为3尺）。一个生物可以使用它的动作来进行一次DC13的力量（运动）检定，检定成功时能够让自己或自己触及范围内的一个其他生物脱困。每次检定失败都会导致被困生物受到1点穿刺伤害。</t>
  </si>
  <si>
    <t>墨水</t>
  </si>
  <si>
    <t>墨水一般装在1盎司的瓶子里，足够撰写500页的内容。</t>
  </si>
  <si>
    <t>墨水笔</t>
  </si>
  <si>
    <t>墨水笔可以使用墨水来写字或绘画。</t>
  </si>
  <si>
    <t>壶</t>
  </si>
  <si>
    <t>壶具有一加仑的容量。</t>
  </si>
  <si>
    <t>梯子</t>
  </si>
  <si>
    <t>一把梯子有10尺高。你只能在梯子上爬上或是爬下。</t>
  </si>
  <si>
    <t>油灯</t>
  </si>
  <si>
    <t>一盏油灯使用燃油作为燃料，点着时能够发出15尺半径的明亮光照和额外30尺的微光光照。</t>
  </si>
  <si>
    <t>牛眼提灯</t>
  </si>
  <si>
    <t>一盏牛眼提灯使用燃油作为燃料，点着时能够发出60尺远锥形的明亮光照和额外60尺远的微光光照。</t>
  </si>
  <si>
    <t>附盖提灯</t>
  </si>
  <si>
    <t>一盏附盖提灯使用燃油作为燃料，点着时能够发出30尺半径的明亮光照和额外30尺的微光光照。以一个附赠动作，你可以盖上或掀开提灯的盖子。盖上盖子时，提灯的光亮降至半径5尺的微光光照。</t>
  </si>
  <si>
    <t>锁</t>
  </si>
  <si>
    <t>每套锁都有对应的钥匙。如果没有对应的钥匙，一个生物还可以使用盗贼工具来通过一次DC15的敏捷（巧手）检定开锁。</t>
  </si>
  <si>
    <t>放大镜</t>
  </si>
  <si>
    <t>使用放大镜时，你为鉴定或检查精密物品所作的任何属性检定都会具有优势。想要使用放大镜点火，需要一束如同阳光般明亮的强光用于聚焦，还需要用于点燃的火绒，随后需要大约5分钟的时间来生火。</t>
  </si>
  <si>
    <t>100GP</t>
  </si>
  <si>
    <t>镣铐</t>
  </si>
  <si>
    <t>以一个操作动作，你可以进行一次DC13的敏捷（巧手）检定。如果该检定成功，你能利用镣铐捆住一个位于你5尺内的非自愿的小型或中型生物，但该生物必须处于受擒、失能或束缚状态。如果你铐住了该生物，该生物进行的攻击检定会具有劣势。如果镣铐还被锁链或钩子固定在了某处，该生物还会陷入束缚状态。挣脱镣铐需要该生物使用动作来通过一次DC20的敏捷（巧手）检定。扯坏镣铐需要该生物使用动作来通过一次DC25的力量（运动）检定。
每套镣铐都有对应的钥匙。如果没有对应的钥匙，一个生物还可以使用盗贼工具来通过一次DC15的敏捷（巧手）检定解开镣铐的锁。</t>
  </si>
  <si>
    <t>如果你在地图所绘制的地点参考了一张准确的地图，你为辨认位置所进行的感知（求生）检定获得+5的加值。</t>
  </si>
  <si>
    <t>镜子</t>
  </si>
  <si>
    <t>一面手持的钢镜不光可以用来化妆打扮，也可以用来窥视拐角或利用反光打信号。</t>
  </si>
  <si>
    <t>捕网</t>
  </si>
  <si>
    <t>当你执行攻击动作，你可以将你的一次攻击替换为丢出一张捕网。你可以选择位于你15尺内可见的一个生物作为目标。该目标必须通过一次敏捷豁免（DC等于8+你的敏捷调整值+你的熟练加值），否则陷入束缚状态，直至挣脱。体型是巨型及以上的目标将自动通过豁免。
被束缚的目标或者位于目标5尺内的生物，可以通过一个动作来进行一次DC10的力量（运动）检定来挣脱捕网。若检定成功，被束缚的生物将被解放。摧毁捕网（AC 10；5 HP；免疫钝击、毒素和心灵伤害）也能解放被困目标并结束捕网的效果。</t>
  </si>
  <si>
    <t>燃油</t>
  </si>
  <si>
    <t>你能将燃油泼在一个生物、物件或一处空间上，你也可以将燃油作为燃料使用。具体使用方法如下。
泼洒一个生物或一个物件Dousing a Creature or an Object。当你执行攻击动作时，你可以将你的一次攻击替换为丢出一扁瓶燃油。你可以选择位于你20尺内可见的一个生物或物件作为目标。该目标必须通过一次敏捷豁免（DC等于8+你的敏捷调整值+你的熟练加值），否则被燃油覆盖。如果目标在燃油挥发前（1分钟后）受到火焰伤害，则目标因燃烧的燃油受到额外5点火焰伤害。
泼洒一处空间Dousing a Space。以一个操作动作，你可以将一扁瓶燃油泼在地面上，以覆盖一块边长5尺且保持水平的方形区域。点燃后，从点燃时算起，燃油会持续燃烧两轮并在回合结束时熄灭（或12秒）。点燃时，任何进入该区域或在该区域结束其回合的生物都会受到5点火焰伤害。同一生物每回合只受该伤害作用一次。
燃料Fuel。燃油能作为油灯和提灯的燃料使用。一旦点着，一扁瓶的燃油可以在油灯和提灯中持续燃烧6小时。持续时长并不需要是连续的，你可以熄灭点着的燃油（以一个操作动作），并在之后再点燃，直到总共燃烧了6小时。</t>
  </si>
  <si>
    <t>纸张</t>
  </si>
  <si>
    <t>一页纸张能够写满250个手写单词。</t>
  </si>
  <si>
    <t>2SP</t>
  </si>
  <si>
    <t>羊皮纸</t>
  </si>
  <si>
    <t>一页羊皮纸能够写满250个手写单词。</t>
  </si>
  <si>
    <t>香水</t>
  </si>
  <si>
    <t>香水通常装在4盎司的小瓶里。为自己拍上香水后的一小时里，你为影响对你态度冷漠的类人生物所作的魅力（游说）检定都具有优势，但这个生物必须位于你的5尺内。</t>
  </si>
  <si>
    <t>以一个附赠动作，你可以将一小瓶基础毒药涂抹在一把武器或至多三枚弹药上。当一个生物受到由涂过毒的武器或弹药所造成的穿刺或劈砍伤害时，该生物将受到额外1d4点毒素伤害。毒药一旦被涂抹，毒效只会持续1分钟或直至造成了额外伤害。</t>
  </si>
  <si>
    <t>长杆</t>
  </si>
  <si>
    <t>一柄长杆有10尺长。你可以用它去触碰10尺外的东西。如果你必须为一次跳高或跳远进行力量（运动）检定的话，你可以使用长杆进行撑杆跳，来使这次检定具有优势。</t>
  </si>
  <si>
    <t>铁壶</t>
  </si>
  <si>
    <t>铁壶具有一加仑的容量。</t>
  </si>
  <si>
    <t>治疗药水</t>
  </si>
  <si>
    <t>这瓶药水是一种魔法物品。以一个附赠动作，你可以喝掉它或将它喂给位于你5尺内的其他生物。喝掉这小瓶魔法红色液体的生物能够恢复2d4+2点生命值。</t>
  </si>
  <si>
    <t>小包</t>
  </si>
  <si>
    <t>一个小包能够至多装入6磅重、五分之一立方尺大的东西。</t>
  </si>
  <si>
    <t>祭司套组</t>
  </si>
  <si>
    <t>祭司套组包含以下物品：背包、毯子、圣水、油灯、7天份的口粮、长袍和火绒盒。</t>
  </si>
  <si>
    <t>33GP</t>
  </si>
  <si>
    <t>箭袋</t>
  </si>
  <si>
    <t>箭袋至多能装入20根箭矢。</t>
  </si>
  <si>
    <t>便携式攻城锤</t>
  </si>
  <si>
    <t>你可以使用便携式攻城锤撞破一扇门。当你这么做时，你在力量检定上获得+4加值。其他一名角色可以协助你使用攻城锤，并使你这次检定具有优势。</t>
  </si>
  <si>
    <t>4GP</t>
  </si>
  <si>
    <t>口粮由适合长途旅行携带的食物组成，包含肉干、风干水果、饼干和坚果等。不进食的危害详见术语汇编中的“饥饿”部分。</t>
  </si>
  <si>
    <t>长袍</t>
  </si>
  <si>
    <t>长袍通常具有特别的的职业或仪式意义。有些活动和场合仅允许穿着带有特定颜色或符号的长袍的人参与。</t>
  </si>
  <si>
    <t>绳索</t>
  </si>
  <si>
    <t>以一个操作动作，你可以进行一次DC10的敏捷（巧手）检定。如果该检定成功，你能用绳索打一个结。扯坏绳索需要成功通过一次DC20的力量（运动）检定。
你可以利用绳索捆住一个非自愿生物，但该生物必须处于受擒、失能或束缚状态。如果你绑住了该生物的腿，该生物陷入束缚状态，直至挣脱。挣脱绳索需要该生物使用动作来通过一次DC15的敏捷（特技）检定。</t>
  </si>
  <si>
    <t>麻袋</t>
  </si>
  <si>
    <t>麻袋至多能够装入30磅1立方尺的东西。</t>
  </si>
  <si>
    <t>学者套组</t>
  </si>
  <si>
    <t>学者套组包含以下物品：背包、书、墨水、墨水笔、油灯、10扁瓶燃油、10张羊皮纸和火绒盒。</t>
  </si>
  <si>
    <t>铲子</t>
  </si>
  <si>
    <t>你可以使用铲子来花费一小时时间在土壤或类似材质的地方挖出一个5尺边长的洞。</t>
  </si>
  <si>
    <t>信号笛</t>
  </si>
  <si>
    <t>以一个操作动作，你可以吹响一支信号笛，并使信号笛发出600尺外都可以听见的响声。</t>
  </si>
  <si>
    <t>戏法卷轴</t>
  </si>
  <si>
    <t>一个戏法法术卷轴或一环法术卷轴是一种记载了戏法或一环法术的魔法物品。具体是哪一种由卷轴的创造者决定。如果卷轴的法术处在你的职业法术列表中，你就可以阅读这卷卷轴并在无需材料成分的情况下，使用法术的正常施法时间来施展这道法术。</t>
  </si>
  <si>
    <t>一环卷轴</t>
  </si>
  <si>
    <t>如果法术要求豁免检定或攻击检定，法术的豁免DC则为13，而攻击加值为5。当法术施展完毕，卷轴会立刻烟消云散。</t>
  </si>
  <si>
    <t>铁钉</t>
  </si>
  <si>
    <t>一组铁钉具有十支。以一个操作动作，你可以使用一把钝器，例如轻锤，来将铁钉锤入木头、土地或类似的材质。你能通过这种方式堵死一扇门，或将绳索或链条固定在铁钉上。</t>
  </si>
  <si>
    <t>望远镜</t>
  </si>
  <si>
    <t>通过望远镜看到的物件要比原先的尺寸大上两倍。</t>
  </si>
  <si>
    <t>1000GP</t>
  </si>
  <si>
    <t>细线</t>
  </si>
  <si>
    <t>细绳有10尺长。你能够以一个操作动作为它打一个结。</t>
  </si>
  <si>
    <t>帐篷</t>
  </si>
  <si>
    <t>帐篷可以睡下两个小型或中型的生物。</t>
  </si>
  <si>
    <t>火绒盒</t>
  </si>
  <si>
    <t>火绒盒是一种装有打火石、火镰和火绒（通常是浸泡在燃油里的干布料）的小型容器，其中的物品可以用来点火。你可以使用附赠动作来用它点燃任何具有燃料的东西——例如蜡烛、油灯、提灯或火把。在没有燃料的情况下生火需要1分钟时间。</t>
  </si>
  <si>
    <t>火把</t>
  </si>
  <si>
    <t>火把点燃后能够燃烧1小时，燃烧期间发出20尺半径的明亮光照和额外20尺的微光光照。当你执行攻击动作时，你可以将火把当作简易近战武器，并使用火把发动攻击。命中时，目标受到1点火焰伤害。</t>
  </si>
  <si>
    <t>小瓶</t>
  </si>
  <si>
    <t>小瓶具有4盎司容量。</t>
  </si>
  <si>
    <t>水袋</t>
  </si>
  <si>
    <t>水袋具有4品脱容量。如果你喝水不足，你会遭受脱水的危害（见规则详述）。</t>
  </si>
  <si>
    <t>警戒</t>
  </si>
  <si>
    <t>起源专长
先攻熟练Initiative Proficiency。当你投掷先攻时，你可以将你的熟练加值加入结果。
先攻互换Initiative Swap。当你掷完先攻，你可以立即与处于同一场战斗中的一名自愿的盟友交换先攻。如果你或那个盟友正处于失能状态，则不能进行交换。</t>
  </si>
  <si>
    <t>箭术</t>
  </si>
  <si>
    <t>你使用远程武器进行的攻击检定获得+2加值。</t>
  </si>
  <si>
    <t>巧匠</t>
  </si>
  <si>
    <t>起源专长
工具熟练Tool Proficiency。你从快速制作表中自选三项不同的工匠工具并获得其熟练。
折扣Discount。你在购买非魔法物品时具有20%的折扣。
快速制作Fast Crafting。当你完成一次长休时，你可以制作一件快速制作栏中的装备。你必须拥有与该物品对应的工匠工具以及与这些工具对应的工具熟练才能尝试制作。造出的物品会持续存在到你下次完成长休，随后该物品解体坏损。
快速制作Fast Crafting 
工匠工具 可制造的装备
木匠工具Carpenter’s Tools 梯子、火把
皮匠工具Leatherworker’s Tools 小箱子、小包
石匠工具Mason’s Tools 滑轮组
陶匠工具Potter’s Tools 壶、油灯
铁匠工具Smith’s Tools 滚珠、桶、铁蒺藜、爪钩、铁壶
修补工具Tinker’s Tools 铃铛、铲子、火绒盒
织布工具Weaver’s Tools 篮子、绳索、捕网、帐篷
木雕工具Woodcarver’s Tools 短棒、巨棒、长棍</t>
  </si>
  <si>
    <t>盲斗</t>
  </si>
  <si>
    <t>你具有10尺盲视。</t>
  </si>
  <si>
    <t>医疗师</t>
  </si>
  <si>
    <t>起源专长
战地医师Battle Medic。如果你有医疗包，以一个利用动作，你可以消耗医疗包的一次使用次数来救治一个位于你5尺内的生物。该生物可以消耗一枚生命骰，然后由你来投掷它，令该生物恢复等于所掷出的点数+你的熟练加值点生命值。
治疗重掷Healing Rerolls。当你掷骰以决定用法术或此专长的战地医师增益所恢复的生命值时，你可以重掷其中掷出1的骰子，但你必须使用重掷的结果。</t>
  </si>
  <si>
    <t>防御</t>
  </si>
  <si>
    <t>着装轻甲、中甲或重甲期间，你的护甲等级获得+1加值。</t>
  </si>
  <si>
    <t>幸运</t>
  </si>
  <si>
    <t>起源专长
幸运点Lucky Point。你拥有一些幸运点，其数量等同于你的熟练加值。你可以将点数花在下列的增益上。你在完成一次长休时重新获得所有已消耗的幸运点。
优势Advantage。当你为了一次D20检定而投掷d20时，你可以花费一个幸运点来给予这次检定优势。
劣势Disadvantage。当一个生物为了一次对你发动的攻击检定而投掷d20时，你可以花费一个幸运点来为这次检定施加劣势。</t>
  </si>
  <si>
    <t>对决</t>
  </si>
  <si>
    <t>当你单手持用一把近战武器且没有持用其他武器时，你使用那把武器进行的伤害掷骰获得+2加值。</t>
  </si>
  <si>
    <t>魔法学徒</t>
  </si>
  <si>
    <t>起源专长
两道戏法Two Cantrips。从牧师法术列表、德鲁伊法术列表、法师法术列表中选择一个列表，你从该法术列表中选择两道戏法并习得之。再从智力、感知、魅力中选择一项属性，你从这个专长中习得的法术使用该属性作为施法属性。
一环法术Level 1 Spell。你从前面所选的法术列表中再选择一道一环法术，并始终准备了这道法术。你可以无需法术位地施展该法术一次，并在完成长休后重获以此法施展该法术的能力。你也可以使用你拥有的任何法术位来施展该法术。
改变法术Spell Change。每当你获得一级新等级，你都能将通过本专长习得的一道法术替换为同法术列表中同环阶的另一道法术。
复选Repeatable。你可多次选择本专长，但是你每次都必须选择一个不同的法术列表。</t>
  </si>
  <si>
    <t>巨武器战斗</t>
  </si>
  <si>
    <t>当你双手持握一把近战武器发动了一次攻击并为其进行伤害掷骰时，若该武器具有双手或多用词条，那么你便可以将伤害骰中的任何1和2都视作3。</t>
  </si>
  <si>
    <t>音乐家</t>
  </si>
  <si>
    <t>起源专长
乐器训练Instrument Training。 你获得三种自选的乐器的熟练项。
鼓舞之歌Encouraging Song。作为你完成短休或长休的一部分，你可以用你熟练的乐器演奏一首歌曲，并令听到这首乐歌的盟友获得英雄激励。以这种方式所能影响的盟友数量最多等于你的熟练加值。</t>
  </si>
  <si>
    <t>拦截</t>
  </si>
  <si>
    <t>当一名你可见的生物用攻击检定命中了另一生物，且被命中的生物位于你5尺内，你可以用反应减少来袭伤害，使该次攻击对其目标的伤害降低1d10+你的熟练加值点。你必须持握着一面盾牌或者一把简易/军用武器才能使用这个反应。</t>
  </si>
  <si>
    <t>凶蛮打手</t>
  </si>
  <si>
    <t>起源专长
你专门训练过如何做出更具破坏性的进攻。每回合一次，当你使用武器命中目标时，你可以掷两次武器的伤害骰，并自选其中一次应用在目标上。</t>
  </si>
  <si>
    <t>守护</t>
  </si>
  <si>
    <t>当一名你可见的生物以一名位于你5尺内的、除你以外的生物为目标发动攻击，如果你正持握着一面盾牌，你可以用反应将你的盾牌挡在其面前。你对触发反应的攻击检定施加劣势，并且直到你的下一回合开始为止，只要你还处于被守护的目标5尺范围内，其他的任何对守护目标进行的所有攻击检定也都将具有劣势。</t>
  </si>
  <si>
    <t>熟习</t>
  </si>
  <si>
    <t>起源专长
你获得共计三项自选的技能和工具熟练。
复选Repeatable。你可多次选择本专长。</t>
  </si>
  <si>
    <t>投掷武器战斗</t>
  </si>
  <si>
    <t>当你使用具有投掷词条的武器进行远程攻击检定并命中时，你在该次伤害掷骰中获得+2加值。</t>
  </si>
  <si>
    <t>酒馆斗殴者</t>
  </si>
  <si>
    <t>起源专长
强化徒手打击Enhanced Unarmed Strike。当你使用徒手打击命中并造成伤害时，你可以造成1d4+你力量调整值的钝击伤害，而非徒手打击的原本伤害。
伤害重掷Damage Rerolls。当你为徒手打击掷伤害骰时，你可以重掷其中掷出1的骰子，但你必须使用重掷的结果。
临时武器专家Improvised Weaponry。你拥有临时武器的熟练项。
推离Push。在你的回合内，如果你用攻击动作中的一次徒手打击命中了一个生物，你可以在对目标造成伤害的同时将它推离5尺。你每回合只能使用这个增益一次。</t>
  </si>
  <si>
    <t>双武器战斗</t>
  </si>
  <si>
    <t>当你因使用具有轻型词条的武器而得以发动追加攻击时，若该次追加攻击的伤害本来无法加入你的属性调整值，你可以加入你的属性调整值。</t>
  </si>
  <si>
    <t>健壮</t>
  </si>
  <si>
    <t>起源专长
获得该专长时，你的生命值上限增加你当前角色等级两倍的数值。并且在你随后每次升级时，你的生命值上限都会额外增加2点。</t>
  </si>
  <si>
    <t>徒手战斗</t>
  </si>
  <si>
    <t>当你使用徒手打击命中并造成了伤害时，你可以改为造成1d6+你的力量调整值点钝击伤害，而非原本的徒手打击伤害。如果你进行攻击检定时并没有持握任何武器与盾牌，则上述伤害中的d6将变为d8。
每当你的回合开始时，你还可以对一个因你受擒的生物造成1d4点钝击伤害。</t>
  </si>
  <si>
    <t>属性值提升</t>
  </si>
  <si>
    <t>通用专长（先决：等级4+）
你选择的一项属性提升2，或者你选择的两项属性各提升1。你无法依靠本专长令某个属性值超出20。
复选Repeatable。你可多次选择本专长。</t>
  </si>
  <si>
    <t>受祝福的勇士</t>
  </si>
  <si>
    <t>你习得两道你选择的牧师戏法（牧师法术列表见牧师职业部分），推荐选取神导术Guidance和圣火术Sacred Flame 。它们对你视作圣武士法术，且这些法术的施法属性是魅力。每当你获得一个圣武士等级时，你都能从你的戏法中选择其一替换为另一道你所选择的圣武士戏法。</t>
  </si>
  <si>
    <t>演员</t>
  </si>
  <si>
    <t xml:space="preserve">通用专长（先决：等级4+，魅力13+）
属性值提升Ability Score Increase。你的魅力提升1，至多提升至20。
伪装Impersonation。伪装成某个虚构或真实的个体的情况下，你为使别人相信你就是那个个体所做的魅力（欺瞒或表演）检定具有优势。
拟声Mimicry。你可以模仿出另一个生物的语音，甚至包括它的说话方式。听见你的拟声的生物必须通过一次感知（洞悉）检定才能发觉这种拟声是由他人伪造的（DC等于8+你的魅力调整值+你的熟练加值）。  </t>
  </si>
  <si>
    <t>德鲁伊教战士</t>
  </si>
  <si>
    <t>你习得两道你选择的德鲁伊戏法（德鲁伊法术列表见德鲁伊职业部分），推荐选取神导术Guidance 和点点星芒Starry wisp。它们对你视作游侠法术，且这些法术的施法属性是感知。每当你获得一个游侠等级时，你都能从你的戏法中选择其一替换为另一道你所选择的游侠戏法。</t>
  </si>
  <si>
    <t>运动精英</t>
  </si>
  <si>
    <t>通用专长（先决：等级4+，力量或敏捷13+）
属性值提升Ability Score Increase。你的力量或敏捷提升1，至多提升至20。
攀爬速度Climb Speed。你获得等同于你速度的攀爬速度。
鲤鱼打挺Hop Up。处于倒地状态的情况下，你可以仅花费5尺移动力来站起来。
跳跃Jumping。你只需移动5尺距离便能进行一次助跑跳远或一次助跑跳高。</t>
  </si>
  <si>
    <t>冲锋手</t>
  </si>
  <si>
    <t>通用专长（先决：等级4+，力量或敏捷13+）
属性值提升Ability Score Increase。你的力量或敏捷提升1，至多提升至20。
进阶疾走Improved Dash。当你执行疾走动作时，对该动作而言，你的速度增长了10尺。
冲锋攻击Charge Attack。在用攻击动作中的一次近战攻击检定命中目标时，若你在此次攻击前立即向着该目标直线移动了至少10尺，你可以为这次攻击增添以下其中一个效果：此次攻击的伤害掷骰获得1d8的加值；将目标推离10尺，前提是目标体型不比你大超过一级。你只能在每个你自己的回合使用这个增益一次。</t>
  </si>
  <si>
    <t>大厨</t>
  </si>
  <si>
    <t>通用专长（先决：等级4+）
属性值提升Ability Score Increase。你的体质或感知提升1，至多提升至20。
厨师工具Cook’s Utensils。如果你没有厨师工具的熟练，你获得之。
大补食膳Replenishing Meal。作为短休的一部分，只要你手上有食材和厨师工具，你就可以烹饪一顿特别的美食。你可以为数个生物准备足够的此类食物，其数量等于4+你的熟练加值。在这一次短休结束时，任何吃了这些食物且花费了生命骰来恢复生命值的生物都能额外恢复1d8的生命值。
应急零嘴Bolstering Treats。如果你手上有食材和厨师工具，你可以花费一小时的时间，或在完成一次长休时，烹饪出一定份数的零嘴，其数量等于你熟练加值。这些特别的小零嘴在做好后能保存八小时。一个生物可以使用一个附赠动作来吃掉其中一份零嘴，并获得等同于你熟练加值的临时生命值。</t>
  </si>
  <si>
    <t>强弩专家</t>
  </si>
  <si>
    <t xml:space="preserve">通用专长（先决：等级4+，敏捷13+）
属性值提升Ability Score Increase。你的敏捷提升1，至多提升至20。
无视装填Ignore Loading。你无视手弩、重弩和轻弩的装填词条（在这个专长里统称弩）。如果你正手持着一把弩，你即使没有空手也能够为它装填一发弹药。
抵近射击Firing in Melee。你用弩进行的攻击检定不会因你在敌人的5尺内而具有劣势。
双持射击Dual Wielding。当你发动由轻型词条所提供的追加攻击时，如果这次追加攻击是由一把具有轻型词条的弩所发动的，且你原本无法在伤害中加入属性调整值，你就可以改为可以将你的属性调整值加入本次伤害中。 </t>
  </si>
  <si>
    <t>粉碎者</t>
  </si>
  <si>
    <t xml:space="preserve">通用专长（先决：等级4+）
属性值提升Ability Score Increase。你的力量或体质提升1，至多提升至20。
推动Push。每回合一次，当你以造成钝击伤害的一次攻击命中了一个生物时，只要这个生物的体型不比你大超过一级，你就能将它移动5尺至一处未占据空间中。
强化重击Enhanced Critical。当你掷出一次重击命中一名生物并对其造成钝击伤害后，直到你的下个回合开始前，任何以该生物为目标的攻击检定都会具有优势。  </t>
  </si>
  <si>
    <t>防御式决斗</t>
  </si>
  <si>
    <t xml:space="preserve">通用专长（先决：等级4+，敏捷13+）
属性值提升Ability Score Increase。你的敏捷提升1，至多提升至20。
招架Parry。如果其他生物的近战攻击命中你时你正握着一把灵巧武器，则你可以执行反应来将你的熟练加值加入到你的护甲等级中，此举可能导致本次攻击变为未命中。那之后，直到你的下一回合开始前，你的AC在面对近战攻击时都将具有相同的加值。  </t>
  </si>
  <si>
    <t>双持客</t>
  </si>
  <si>
    <t xml:space="preserve">通用专长（先决：等级4+，力量或敏捷13+）
属性值提升Ability Score Increase。你的力量或敏捷提升1，至多提升至20。
强化双持Enhanced Dual Wielding。当你在自己的回合中执行了攻击动作，并使用具有轻型词条的武器发动了一次攻击后，你可以在同一回合中，以一个附赠动作发动一次追加攻击。这次追加攻击必须由另一把不具有双手词条的近战武器发动。追加攻击的伤害无法加入你的属性调整值（除非该调整值为负数）。
（译注：因为WSZ的文字游戏，此效果难以被准确翻译，简而言之：此效果的攻击属于“因使用具有轻型词条的武器而发动的追加攻击”；但不属于“由轻型词条提供的追加攻击”）
快速拔刀Quick Draw。拔出或入鞘武器时，你可以同时拔出或入鞘两把不具有双手词条的武器，而非通常情况下的一把。  </t>
  </si>
  <si>
    <t>耐性</t>
  </si>
  <si>
    <t xml:space="preserve">通用专长（先决：等级4+）
属性值提升Ability Score Increase。你的体质提升1，至多提升至20。
悍不畏死Defy Death。你进行的死亡豁免具有优势。
高速恢复Speedy Recovery。以一个附赠动作，你可以消耗并投掷一枚生命骰，来恢复与投掷结果相等的生命值。 </t>
  </si>
  <si>
    <t>元素掌控</t>
  </si>
  <si>
    <t xml:space="preserve">通用专长（先决：等级4+，施法或契约魔法特性）
属性值提升Ability Score Increase。你的智力、感知或魅力提升1点，至多提升至20。
能量掌控Energy Mastery。选择以下伤害类型之一：强酸、寒冷、火焰、闪电、雷鸣。你施展的法术无视所选伤害类型的抗性。此外，当你为你施展的造成该类型伤害的法术投掷伤害时，你可以将伤害骰中骰出的1都视为2。
复选Repeatable。你可多次选取本专长，但每次选取时都必须为能量掌控增益选择一个不同的伤害类型。  </t>
  </si>
  <si>
    <t>妖精触碰</t>
  </si>
  <si>
    <t xml:space="preserve">通用专长（先决：等级4+）
暴露在妖精荒野Feywild的魔法之下给予你了以下增益：
属性值提升Ability Score Increase。你的智力、感知或魅力提升1，至多提升至20。
妖精魔法Fey Magic。选择一道预言系或者惑控系的一环法术。你总是准备了你选的这道法术与迷踪步Misty Step。你可以在不消耗法术位的情况下施展这些法术各一次，而当你以此法施展某道法术后，完成一次长休前你都不能再次以此法施展该法术。你也可以消耗合适的法术位来施展这些法术。
这些法术的施法属性是你由此专长提升的属性。  </t>
  </si>
  <si>
    <t>擒抱者</t>
  </si>
  <si>
    <t xml:space="preserve">通用专长（先决：等级4+，力量或敏捷13+）
属性值提升Ability Score Increase。你的力量或敏捷提升1，至多提升至20。
连擒带打Punch and Grab。你的回合中，当你用攻击动作中的一次徒手打击命中了一个生物，你可以同时进行擒抱和造成伤害两个选项。你每回合只能使用这个增益一次。
优势攻击Attack Advantage。你攻击因你受擒的生物时的攻击检定具有优势。
高速拖行Fast Wrestler。当你移动一个因你受擒的生物时，如果这个生物的体型和你一致或比你更小，你的速度不会因此减半。  </t>
  </si>
  <si>
    <t>巨武器大师</t>
  </si>
  <si>
    <t>通用专长（先决：等级4+，力量13+）
属性值提升Ability Score Increase。你的力量提升1，至多提升至20。
重武器掌握Heavy Weapon Master。在你的回合内，你的攻击动作中，当你用具有重型词条的武器命中了一名生物时，你可以让这把武器对目标额外造成一定的伤害，额外伤害等同于你的熟练加值。
顺势斩Hew。当你使用近战武器掷出一次重击时，或当你用其将一个生物的生命值降低至0时，你可以立即使用你的附赠动作用同一把武器发动一次攻击。</t>
  </si>
  <si>
    <t>重甲运用</t>
  </si>
  <si>
    <t xml:space="preserve">通用专长（先决：等级4+，中甲受训）
属性值提升Ability Score Increase。你的体质或力量提升1，至多提升至20。
护甲受训Armor Training。你获得重甲受训。 </t>
  </si>
  <si>
    <t>重甲大师</t>
  </si>
  <si>
    <t xml:space="preserve">通用专长（先决：等级4+，重甲受训）
属性值提升Ability Score Increase。你的体质或力量提升1，至多提升至20。
伤害减免Damage Reduction。穿着重甲期间，当你被一次攻击命中时，该次攻击对你造成的任何钝击伤害、穿刺伤害与挥砍伤害均减去你的熟练加值点。 </t>
  </si>
  <si>
    <t>领袖之证</t>
  </si>
  <si>
    <t>通用专长（先决：等级4+，感知或魅力13+）
属性值提升Ability Score Increase。你的感知或魅力提升1，至多提升至20。
激励演出Bolstering Performance。每当你的短休/长休结束时，你可以做一场激励人心的表演：一次演讲、一首歌曲或一支舞蹈。当你这么做时，选择至多6名在周围30尺内观看你表演的盟友（亦可包括你自己）。每个被选中的生物都可以获得一定临时生命值，其数值等于你的角色等级+你用本专长提升的属性的调整值。</t>
  </si>
  <si>
    <t>敏锐心灵</t>
  </si>
  <si>
    <t>通用专长（先决：等级4+，智力13+）
属性值提升Ability Score Increase。你的智力提升1，至多提升至20。
轶闻知识Lore Knowledge。选择下列技能之一：奥秘、历史、调查、自然、宗教。如果你不具有所选技能的熟练，则你获得其熟练；如果你已有熟练，则你获得其专精。
快速研究Quick Study。你可以用附赠动作执行研究动作。</t>
  </si>
  <si>
    <t>轻甲运用</t>
  </si>
  <si>
    <t xml:space="preserve">通用专长（先决：等级4+）
属性值提升Ability Score Increase。你的力量或敏捷提升1点，至多提升至20。
护甲受训Armor Training。你获得轻甲和盾牌受训。  </t>
  </si>
  <si>
    <t>巫师杀手</t>
  </si>
  <si>
    <t>通用专长（先决：等级4+）
属性值提升Ability Score Increase。你的力量或敏捷提升1，至多提升至20。
专注中断手Concentration Breaker。当你对一名正处于专注中的生物造成伤害时，该生物为维持本次专注所做的豁免检定时具有劣势。
审慎护心Guarded Mind。当你的智力、感知或魅力豁免失败时，你可以将其改为成功。此增益一经使用，直到你完成一次短休/长休前它都无法再次使用。</t>
  </si>
  <si>
    <t>军用武器训练</t>
  </si>
  <si>
    <t>通用专长（先决：等级4+）
属性值提升Ability Score Increase。你的力量或敏捷提升1，至多提升至20。
武器熟练Weapon Proficiency。你获得军用武器熟练。</t>
  </si>
  <si>
    <t>中甲大师</t>
  </si>
  <si>
    <t>通用专长（先决：等级4+，中甲受训）
属性值提升Ability Score Increase。你的力量或敏捷提升1，至多提升至20。
灵敏着装Dexterous Wearer。穿着中甲期间，若你的敏捷在16或更高，你可以在AC中加入3点敏捷调整值，而非原本的2点。</t>
  </si>
  <si>
    <t>中甲运用</t>
  </si>
  <si>
    <t>通用专长（先决：等级4+，轻甲受训）
属性值提升Ability Score Increase。你的力量或敏捷提升1，至多提升至20。
护甲受训Armor Training。你获得中甲受训。</t>
  </si>
  <si>
    <t>骑乘战斗</t>
  </si>
  <si>
    <t>通用专长（先决：等级4+）
属性值提升Ability Score Increase。你的力量、敏捷或感知提升1，至多提升至20。
骑乘突击Mounted Strike。骑乘期间，你对位于你坐骑5尺内的、体型比你坐骑至少小一级的、且未被骑乘的生物所进行的攻击检定具有优势。
侧跃躲闪Leap Aside。当你的坐骑受某效应影响而需要进行敏捷豁免时，如果此次豁免成功只受到一半伤害，那么它豁免成功时不受伤害，豁免失败只承受一半伤害。为享受此增益，你必须骑乘着你的坐骑，且你与坐骑均不能处于失能状态。
我身作盾Veer。当你骑乘时，只要你不处于失能状态，你就可以强制让命中了你的坐骑的攻击改为命中你自己。</t>
  </si>
  <si>
    <t>观察力</t>
  </si>
  <si>
    <t>通用专长（先决：等级4+，智力或感知13+）
属性值提升Ability Score Increase。你的智力或感知提升1，至多提升至20。
敏锐观察Keen Observer。选择以下技能之一：洞悉、调查或察觉。如果你不具有所选技能的熟练，则你获得其熟练；如果你已有熟练，则你获得其专精。
快速搜索Quick Search。你可以用附赠动作进行搜索动作。</t>
  </si>
  <si>
    <t>穿刺者</t>
  </si>
  <si>
    <t>通用专长（先决：等级4+）
属性值提升Ability Score Increase。你的力量或敏捷提升1，至多提升至20。
穿透伤Puncture。每回合一次，当你用造成穿刺伤害的攻击命中一个生物时，你可以重投这次攻击伤害的其中一枚伤害骰。但你必须采用新的掷骰结果。
强化重击Enhanced Critical。当你用造成穿刺伤害的攻击命中一个生物并且掷出重击时，你可以在计算额外的穿刺伤害时多投一个伤害骰。</t>
  </si>
  <si>
    <t>毒师</t>
  </si>
  <si>
    <t>通用专长（先决：等级4+）
属性值提升Ability Score Increase。你的敏捷或智力提升1，至多提升至20。
强效毒素Potent Poison。你造成毒素伤害的伤害掷骰无视对方的毒素伤害抗性。
酿毒Brew Poison。你获得毒药工具的熟练项。你可以花费一小时的时间与价值50GP的材料，来使用毒药工具制造一定数量的毒药，其剂数等同于你的熟练加值。你能够以一个附赠动作为一把武器或一枚弹药涂上一剂毒药。涂用后，此种毒药的毒性能维持一分钟。
当一个生物受到来自此种涂毒物品的伤害时将消耗涂抹毒素的毒性，迫使该生物进行一次体质豁免（DC等于8+你以本专长提升的属性的调整值+你的熟练加值），若生物豁免失败将受到2d8点毒素伤害并陷入中毒状态，持续至你的下回合结束。</t>
  </si>
  <si>
    <t>长柄武器大师</t>
  </si>
  <si>
    <t>通用专长（先决：等级4+，力量或敏捷13+）
属性值提升Ability Score Increase。你的敏捷或力量提升1，至多提升至20。
长柄打击Pole Strike。使用一根长棍、一把矛或一把同时有重型词条与触及词条的武器执行攻击动作之后，你可以立刻用附赠动作，使用武器的另一端发动一次近战攻击。在这次攻击中，该武器的伤害骰改为d4，其伤害类型改为钝击伤害。
应激打击Reactive Strike。当你持握一根长棍、一把矛或一把同时具有重型词条与触及词条的武器时，生物进入你触及范围时，你可以用反应对该生物发动一次近战攻击。</t>
  </si>
  <si>
    <t>强健身心</t>
  </si>
  <si>
    <t>通用专长（先决：等级4+）
属性值提升Ability Score Increase。选择你不具有其豁免熟练的一项属性，该属性提升1，至多提升至20。
豁免熟练Saving Throw Proficiency。你获得所选属性的豁免熟练。</t>
  </si>
  <si>
    <t>仪式施法者</t>
  </si>
  <si>
    <t>通用专长（先决：等级4+，智力、感知或魅力13+）
属性值提升Ability Score Increase。你的智力、感知或魅力提升1，至多提升至20。
仪式魔法Ritual Spells。你选择数道具有仪式标签的一环法术，其具体数量等于你的熟练加值。你始终准备着这几道法术，并可以用你拥有的任何法术位去施展它们。施展它们的施法属性为你用此专长提升的属性。此后，每当你的熟练加值提升时，你可以通过这个特性多获得一道始终准备的、带有仪式标签的一环法术。
快速仪式Quick Ritual。你可以用通常的施法时间来施展一道仪式法术，而不需要仪式的延长施法时间。这么做不会花费你的法术位。一旦你通过这种方式施展了一道法术，直到完成一次长休前你都不能再使用这个增益。</t>
  </si>
  <si>
    <t>哨兵</t>
  </si>
  <si>
    <t>通用专长（先决：等级4+，力量或敏捷13+）
属性值提升Ability Score Increase。你的力量或敏捷提升1，至多提升至20。
守护者Guardian。当位于你5尺范围内的生物执行撤离动作后，或当它的攻击命中了除你以外的目标后，你可以立刻对该生物进行一次借机攻击。
阻拦Halt。你的借机攻击命中一名生物时，该生物的速度在当前回合剩余时间内变为0。</t>
  </si>
  <si>
    <t>影界触碰</t>
  </si>
  <si>
    <t xml:space="preserve">通用专长（先决：等级4+）
暴露于堕影冥界Shadowfell的魔法给予你以下增益：
属性值提升Ability Score Increase。你的智力、感知或魅力提升1，至多提升至20。
暗影魔法Shadow Magic。你从幻术或死灵学派中选择一道一环法术，并始终准备了隐形术Invisibility和所选法术。你可以在不消耗法术位的情况下施展这些法术各一次，而当你以此法施展某道法术后，完成一次长休前你都不能再次以此法施展该法术。你也可以消耗合适的法术位来施展这些法术。
这些法术的施法属性是你由此专长提升的属性。  </t>
  </si>
  <si>
    <t>神射手</t>
  </si>
  <si>
    <t>通用专长（先决：等级4+，敏捷13+）
属性值提升Ability Score Increase。你的敏捷提升1，至多提升至20。
绕过掩体Bypass Cover。你使用武器发动的远程攻击无视半身掩护和四分之三掩护。
抵近射击Firing in Melee。位于一个敌人5尺范围内的情况下，你使用远程武器发动的攻击检定不会因此具有劣势。
百步穿杨Long Shots。使用远程武器攻击超出常规射程的目标时，你的攻击检定不会因此具有劣势。</t>
  </si>
  <si>
    <t>盾牌大师</t>
  </si>
  <si>
    <t>通用专长（先决：等级4+，盾牌受训）
属性值提升Ability Score Increase。你的力量提升1，至多提升至20。
盾击Shield Bash。当你通过攻击动作中的，由近战武器发动的一次攻击命中了位于你5尺内的生物时，如果你装备着盾牌，你就可以立即使用它来击打目标，迫使目标进行一次力量豁免检定（DC等于8+你的力量调整值+你的熟练加值）。如果豁免失败，目标将被你推离5尺远或因此陷入倒地状态（由你选择）。在每个你的回合中，此增益只能被使用一次。（注：PHB的所有专长中，只有这一条增益要求“装备着盾牌”，其余均为“持握着盾牌”）
介入盾牌Interpose Shield。当你受某效应影响而需要进行敏捷豁免来“只受一半伤害”时，若你豁免检定成功并正持握着一面盾牌，你就可以用反应来使你自己免受此次伤害。</t>
  </si>
  <si>
    <t>技艺专家</t>
  </si>
  <si>
    <t>通用专长（先决：等级4+）
属性值提升Ability Score Increase。你选择的一项属性提升1，至多提升至20。
技能熟练Skill Proficiency。你自选一个技能并获得其熟练。
专精Expertise。你选择一个拥有其熟练但不具备相应专精的技能，并获得其专精。</t>
  </si>
  <si>
    <t>隐伏者</t>
  </si>
  <si>
    <t>通用专长（先决：等级4+，敏捷13+）
属性值提升Ability Score Increase。你的敏捷提升1，至多提升至20。
盲视Blindsight。你获得10尺距离的盲视。
战争迷雾Fog of War。你善于利用战斗中的混乱。你在战斗中通过执行躲藏动作时所做的任何敏捷（隐匿）检定都具有优势。
狙击手Sniper。如果你在躲藏中进行了攻击检定，但该次攻击未命中时，这次攻击将不会暴露你的位置。</t>
  </si>
  <si>
    <t>劈砍者</t>
  </si>
  <si>
    <t>通用专长（先决：等级4+）
属性值提升Ability Score Increase。你的力量或敏捷提升1，至多提升至20。
伤筋Hamstring。每回合一次，当你用造成挥砍伤害的攻击命中一个生物时，你可以使其速度降低10尺，持续至你的下回合开始。
强化重击Enhanced Critical。当你掷出重击并对一个生物造成挥砍伤害时，该生物进行的所有攻击检定都将具有劣势，持续至你的下回合开始为止。</t>
  </si>
  <si>
    <t>飙速跑者</t>
  </si>
  <si>
    <t>通用专长（先决：等级4+，敏捷或体质13+）
属性值提升Ability Score Increase。你的敏捷或体质提升1，至多提升至20。
速度提升Speed Increase。你的速度提升10尺。
险地疾行Dash Over Difficult Terrain。当你在自己的回合执行疾走动作时，在这个回合余下的时间里，困难地形不再会额外消耗你的移动力。
灵活移动Agile Movement。对你发动的借机攻击都具有劣势。</t>
  </si>
  <si>
    <t>法术射手</t>
  </si>
  <si>
    <t xml:space="preserve">通用专长（先决：等级4+，施法或契约魔法特性）
属性值提升Ability Score Increase。你的智力、感知或魅力提升1，至多提升至20。
绕过掩体Bypass Cover。你为法术进行的攻击检定无视半身掩护和四分之三掩护。
抵近施法Casting in Melee。位于一个敌人5尺范围内的情况下，你用法术进行的攻击检定不会因此具有劣势。
法术增距Increased Range。当你施展一道具有至少10尺施法距离，且需要你进行一次攻击检定的法术时，这道法术的施法距离增加60尺。  </t>
  </si>
  <si>
    <t>念动力</t>
  </si>
  <si>
    <t>通用专长（先决：等级4+）
属性值提升Ability Score Increase。你的智力、感知或魅力提升1，至多提升至20。
次级心灵遥控Minor Telekinesis。你习得法术法师之手Mage Hand。你施展这道戏法时，你无需言语成分与姿势成分，可以让这只灵体手隐形，还可以令它的施法距离（以及其因远离你消失时的距离）提升30尺。该法术的施法属性是你用此专长提升的属性。
念力推撞Telekinetic Shove。以一个附赠动作，你可以尝试以念动力推撞一个位于你30尺内的你可见的生物。当你这样做时，目标必须通过一次力量豁免（DC等于8+你用此专长提升的属性的调整值+你的熟练加值）否则将被你拉近或推离5尺。</t>
  </si>
  <si>
    <t>心灵感应</t>
  </si>
  <si>
    <t>通用专长（先决：等级4+）
属性值提升Ability Score Increase。你的智力、感知或魅力提升1，至多提升至20。
传心呢喃Telepathic Utterance。你可以和位于你60尺内任何你可见的生物用心灵感应进行交流。你的传心呢喃以一种你已知的语言进行，且该生物必须懂得这门语言才能理解你。你的主动沟通并不会给予该生物以心灵感应的形式回复你的能力。
侦测思想Detect Thoughts。你始终准备着侦测思想Detect Thought法术。你可以无需法术位和法术成分地施展它。以此法施法后，你在完成一次长休前不能再这样做。该法术的施法属性是你由此专长提升的属性。你也可以消耗合适的法术位来施展这些法术。这些法术的施法属性是你由此专长提升的属性。</t>
  </si>
  <si>
    <t>战地施法者</t>
  </si>
  <si>
    <t>通用专长（先决：等级4+，施法或契约魔法特性）
属性值提升Ability Score Increase。你的智力、感知或魅力提升1，至多提升至20
专注Concentration。你为维持专注的所做的体质豁免具有优势。
响应法术Reactive Spell。当一个生物因离开你的触及范围而引起你的借机攻击时，你能使用你的反应来对这个生物施展一道法术，而非发动一次借机攻击。这道法术的施法时间必须为一动作，且必须将该生物选为法术的唯一目标。
姿势成分Somatic Components。即使你的一只手或双手上都有武器/盾牌，你也能满足法术的姿势成分要求。</t>
  </si>
  <si>
    <t>武器大师</t>
  </si>
  <si>
    <t>通用专长（先决：等级4+）
属性值提升Ability Score Increase。你的力量或敏捷提升1，至多提升至20。
精通词条Mastery Property。你对武器的训练让你能够使用你自选的一种简单或军用武器的精通词条，前提是你熟练于该种武器。每当你完成一次长休，你能将所选的武器种类替换为你熟练的另一种武器。</t>
  </si>
  <si>
    <t>英勇战斗之恩惠</t>
  </si>
  <si>
    <t>传奇恩惠专长（先决：等级19+）
属性值提升Ability Score Increase。你选择的一项属性提升1，至多提升至30。
无双锁定Peerless Aim。当你的一次攻击检定失手时，你可以将其改为命中。该增益一经使用，下个你的回合开始后你才能再次使用它。</t>
  </si>
  <si>
    <t>次元旅行之恩惠</t>
  </si>
  <si>
    <t>传奇恩惠专长（先决：等级19+）
属性值提升Ability Score Increase。你选择的一项属性提升1，至多提升至30。
闪烁步Blink Steps。当你执行攻击动作或魔法动作后，你可以立即传送至多30尺的距离到一处你可见的未占据空间内。</t>
  </si>
  <si>
    <t>能量抗性之恩惠</t>
  </si>
  <si>
    <t>传奇恩惠专长（先决：等级19+）
属性值提升Ability Score Increase。你选择的一项属性提升1，至多提升至30。
能量抗性Energy Resistances。从下列伤害类型中选择两种：强酸、寒冷、火焰、闪电、暗蚀、毒素、心灵、光耀或雷鸣。你获得所选伤害类型的抗性。每当你完成长休时，你都可以改变此处选择的伤害类型。
能量重导Energy Redirection。当你受到伤害时，若该伤害的伤害类型是你能量抗性增益中所选类型之一，你能够以反应来将一次相同类型的伤害传导给你60尺内的、可见的另一名生物（不能是对你而言处于全身掩护下的生物）。若你如此做，该生物必须通过一次敏捷豁免（DC等于8+你的体质调整值+你的熟练加值），否则其受到2d12+你的体质调整值伤害。</t>
  </si>
  <si>
    <t>扭曲命运之恩惠</t>
  </si>
  <si>
    <t>传奇恩惠专长（先决：等级19+）
属性值提升Ability Score Increase。你选择的一项属性提升1，至多提升至30。
时来运转Improve Fate。当你或位于你60尺内的另一名生物的D20检定中成功时或失败时，你可以投掷2d4，并将掷骰结果作为加值或减值附加到d20掷骰中。该增益一经使用，直至你投掷先攻、完成短休或完成长休你都无法再次使用。</t>
  </si>
  <si>
    <t>超凡强韧之恩惠</t>
  </si>
  <si>
    <t>传奇恩惠专长（先决：等级19+）
属性值提升Ability Score Increase。你选择的一项属性提升1，至多提升至30。
身强体壮Fortified Health。你的生命值上限增加40。此外，每当你恢复生命值时，你可以恢复等于你体质调整值的额外生命值。以此恢复了额外生命值后，直至下个你的回合开始后你才能再次受益于此效果。</t>
  </si>
  <si>
    <t>无敌攻势之恩惠</t>
  </si>
  <si>
    <t>传奇恩惠专长（先决：等级19+）
属性值提升Ability Score Increase。你的力量或敏捷提升1，至多提升至30。
摧坚破甲Overcome Defenses。你造成的钝击、挥砍与穿刺伤害始终无视抗性。
无阻打击Overwhelming Strike。当你为一次攻击检定投掷的d20骰出了20时，你可以对目标造成额外伤害，你造成的额外伤害等于你以此专长提升的属性的属性值，伤害类型与这次攻击的伤害类型相同。</t>
  </si>
  <si>
    <t>强力恢复之恩惠</t>
  </si>
  <si>
    <t>传奇恩惠专长（先决：等级19+）
属性值提升Ability Score Increase。你选择的一项属性提升1，至多提升至30。
背水一战Last Stand。当你的生命值将要降至0时，你可以改为降至1并恢复等于你生命值上限一半的生命值。该增益一经使用，直到完成长休你都无法再次被使用。
重获生机Recover Vitality。你获得一个有着十枚d10的治疗池。以一个附赠动作，你可以消耗治疗池中任意枚骰子来恢复你的生命值。投掷全部你消耗的骰子，将掷骰结果相加，即是你以此恢复的生命值。当你完成长休时，你的治疗池重获所有被消耗的骰子。</t>
  </si>
  <si>
    <t>博学多才之恩惠</t>
  </si>
  <si>
    <t>传奇恩惠专长（先决：等级19+）
属性值提升Ability Score Increase。你选择的一项属性提升1，至多提升至30。
全能专家All-Around Adept。你获得所有技能的熟练。
专精Expertise。选择一项你不具有专精的技能，你获得该技能的专精。</t>
  </si>
  <si>
    <t>神行无拘之恩惠</t>
  </si>
  <si>
    <t>传奇恩惠专长（先决：等级19+）
属性值提升Ability Score Increase。你选择的一项属性提升1，至多提升至30。
逃脱大师Escape Artist。你能够以一个附赠动作执行撤离动作，并结束你陷入的受擒状态。
风驰电掣Quickness。你的速度增加30尺。</t>
  </si>
  <si>
    <t>法术溯回之恩惠</t>
  </si>
  <si>
    <t>传奇恩惠专长（先决：等级19+）
属性值提升Ability Score Increase。你的智力、感知或魅力提升1，至多提升至30。
免费施法Free Casting。每当你使用一环到四环的法术位施展法术时，投掷1d4。若掷骰结果与你消耗的法术位环阶一致，则该法术位不会被消耗。</t>
  </si>
  <si>
    <t>暗夜精魂之恩惠</t>
  </si>
  <si>
    <t>传奇恩惠专长（先决：等级19+）
属性值提升Ability Score Increase。你选择的一项属性提升1，至多提升至30。
融身入影Merge with Shadows。身处微光光照或黑暗期间，你可以用附赠动作令你获得隐形状态。隐形状态将在你执行动作/附赠动作/反应后立即结束。
幽影化身Shadowy Form。身处微光光照或黑暗期间，你具有除心灵和光耀伤害外所有伤害的抗性。</t>
  </si>
  <si>
    <t>真实视觉之恩惠</t>
  </si>
  <si>
    <t>传奇恩惠专长（先决：等级19+）
属性值提升Ability Score Increase。你选择的一项属性提升1，至多提升至30。
真实视觉Truesight。你具有60尺真实视觉。</t>
  </si>
  <si>
    <t>PHB</t>
  </si>
  <si>
    <t>范型</t>
  </si>
  <si>
    <t>职业特性</t>
  </si>
  <si>
    <t>生命值成长</t>
  </si>
  <si>
    <t>生命骰</t>
  </si>
  <si>
    <t>期望值</t>
  </si>
  <si>
    <t>职业</t>
  </si>
  <si>
    <t>本职</t>
  </si>
  <si>
    <r>
      <rPr>
        <sz val="11"/>
        <color theme="1"/>
        <rFont val="宋体"/>
        <family val="3"/>
        <charset val="134"/>
      </rPr>
      <t>等级</t>
    </r>
  </si>
  <si>
    <r>
      <rPr>
        <sz val="11"/>
        <color theme="1"/>
        <rFont val="Times New Roman"/>
        <family val="1"/>
      </rPr>
      <t>1</t>
    </r>
    <r>
      <rPr>
        <sz val="11"/>
        <color theme="1"/>
        <rFont val="宋体"/>
        <family val="3"/>
        <charset val="134"/>
      </rPr>
      <t>环</t>
    </r>
  </si>
  <si>
    <r>
      <rPr>
        <sz val="11"/>
        <color theme="1"/>
        <rFont val="Times New Roman"/>
        <family val="1"/>
      </rPr>
      <t>2</t>
    </r>
    <r>
      <rPr>
        <sz val="11"/>
        <color theme="1"/>
        <rFont val="宋体"/>
        <family val="3"/>
        <charset val="134"/>
      </rPr>
      <t>环</t>
    </r>
  </si>
  <si>
    <r>
      <rPr>
        <sz val="11"/>
        <color theme="1"/>
        <rFont val="Times New Roman"/>
        <family val="1"/>
      </rPr>
      <t>3</t>
    </r>
    <r>
      <rPr>
        <sz val="11"/>
        <color theme="1"/>
        <rFont val="宋体"/>
        <family val="3"/>
        <charset val="134"/>
      </rPr>
      <t>环</t>
    </r>
  </si>
  <si>
    <r>
      <rPr>
        <sz val="11"/>
        <color theme="1"/>
        <rFont val="Times New Roman"/>
        <family val="1"/>
      </rPr>
      <t>4</t>
    </r>
    <r>
      <rPr>
        <sz val="11"/>
        <color theme="1"/>
        <rFont val="宋体"/>
        <family val="3"/>
        <charset val="134"/>
      </rPr>
      <t>环</t>
    </r>
  </si>
  <si>
    <r>
      <rPr>
        <sz val="11"/>
        <color theme="1"/>
        <rFont val="Times New Roman"/>
        <family val="1"/>
      </rPr>
      <t>5</t>
    </r>
    <r>
      <rPr>
        <sz val="11"/>
        <color theme="1"/>
        <rFont val="宋体"/>
        <family val="3"/>
        <charset val="134"/>
      </rPr>
      <t>环</t>
    </r>
  </si>
  <si>
    <r>
      <rPr>
        <sz val="11"/>
        <color theme="1"/>
        <rFont val="Times New Roman"/>
        <family val="1"/>
      </rPr>
      <t>6</t>
    </r>
    <r>
      <rPr>
        <sz val="11"/>
        <color theme="1"/>
        <rFont val="宋体"/>
        <family val="3"/>
        <charset val="134"/>
      </rPr>
      <t>环</t>
    </r>
  </si>
  <si>
    <r>
      <rPr>
        <sz val="11"/>
        <color theme="1"/>
        <rFont val="Times New Roman"/>
        <family val="1"/>
      </rPr>
      <t>7</t>
    </r>
    <r>
      <rPr>
        <sz val="11"/>
        <color theme="1"/>
        <rFont val="宋体"/>
        <family val="3"/>
        <charset val="134"/>
      </rPr>
      <t>环</t>
    </r>
  </si>
  <si>
    <r>
      <rPr>
        <sz val="11"/>
        <color theme="1"/>
        <rFont val="Times New Roman"/>
        <family val="1"/>
      </rPr>
      <t>8</t>
    </r>
    <r>
      <rPr>
        <sz val="11"/>
        <color theme="1"/>
        <rFont val="宋体"/>
        <family val="3"/>
        <charset val="134"/>
      </rPr>
      <t>环</t>
    </r>
  </si>
  <si>
    <r>
      <rPr>
        <sz val="11"/>
        <color theme="1"/>
        <rFont val="Times New Roman"/>
        <family val="1"/>
      </rPr>
      <t>9</t>
    </r>
    <r>
      <rPr>
        <sz val="11"/>
        <color theme="1"/>
        <rFont val="宋体"/>
        <family val="3"/>
        <charset val="134"/>
      </rPr>
      <t>环</t>
    </r>
  </si>
  <si>
    <t>魔契师等级</t>
  </si>
  <si>
    <t>最小数据行</t>
  </si>
  <si>
    <t>最大数据行</t>
  </si>
  <si>
    <t>待选特性</t>
  </si>
  <si>
    <t>特性名</t>
  </si>
  <si>
    <t>特性描述</t>
  </si>
  <si>
    <t>1d6</t>
  </si>
  <si>
    <t>野蛮人</t>
  </si>
  <si>
    <t>狂战士道途</t>
  </si>
  <si>
    <t>兽心道途</t>
  </si>
  <si>
    <t>世界树道途</t>
  </si>
  <si>
    <t>狂热者道途</t>
  </si>
  <si>
    <t>0v0?</t>
  </si>
  <si>
    <t>舞蹈学院</t>
  </si>
  <si>
    <t>魅心学院</t>
  </si>
  <si>
    <t>逸闻学院</t>
  </si>
  <si>
    <t>勇气学院</t>
  </si>
  <si>
    <t>1d8</t>
  </si>
  <si>
    <t>生命领域</t>
  </si>
  <si>
    <t>光明领域</t>
  </si>
  <si>
    <t>诡术领域</t>
  </si>
  <si>
    <t>战争领域</t>
  </si>
  <si>
    <t>增值</t>
  </si>
  <si>
    <t>大地结社</t>
  </si>
  <si>
    <t>月亮结社</t>
  </si>
  <si>
    <t>海洋结社</t>
  </si>
  <si>
    <t>星辰结社</t>
  </si>
  <si>
    <t>总等级</t>
  </si>
  <si>
    <t>战士</t>
  </si>
  <si>
    <t>奥法骑士</t>
  </si>
  <si>
    <t>战斗大师</t>
  </si>
  <si>
    <t>勇士</t>
  </si>
  <si>
    <t>灵能武士</t>
  </si>
  <si>
    <t>武僧</t>
  </si>
  <si>
    <t>首级</t>
  </si>
  <si>
    <t>诡术师</t>
  </si>
  <si>
    <t>命流武者</t>
  </si>
  <si>
    <t>暗影武者</t>
  </si>
  <si>
    <t>四象武者</t>
  </si>
  <si>
    <t>散打武者</t>
  </si>
  <si>
    <t>游荡者</t>
  </si>
  <si>
    <t>奉献之誓</t>
  </si>
  <si>
    <t>荣耀之誓</t>
  </si>
  <si>
    <t>古贤之誓</t>
  </si>
  <si>
    <t>复仇之誓</t>
  </si>
  <si>
    <t>全施法者</t>
  </si>
  <si>
    <t>驯兽师</t>
  </si>
  <si>
    <t>妖精漫游者</t>
  </si>
  <si>
    <t>幽域追踪者</t>
  </si>
  <si>
    <t>猎人</t>
  </si>
  <si>
    <t>奇械师</t>
  </si>
  <si>
    <t>半施法者</t>
  </si>
  <si>
    <t>刺客</t>
  </si>
  <si>
    <t>魂刃</t>
  </si>
  <si>
    <t>盗贼</t>
  </si>
  <si>
    <t>1d10</t>
  </si>
  <si>
    <t>诡奥</t>
  </si>
  <si>
    <t>畸变术法</t>
  </si>
  <si>
    <t>时械术法</t>
  </si>
  <si>
    <t>龙族术法</t>
  </si>
  <si>
    <t>狂野术法</t>
  </si>
  <si>
    <t>至高妖精宗主</t>
  </si>
  <si>
    <t>天界宗主</t>
  </si>
  <si>
    <t>邪魔宗主</t>
  </si>
  <si>
    <t>旧日支配者宗主</t>
  </si>
  <si>
    <t>防护师</t>
  </si>
  <si>
    <t>预言师</t>
  </si>
  <si>
    <t>塑能师</t>
  </si>
  <si>
    <t>幻术师</t>
  </si>
  <si>
    <t>1d12</t>
  </si>
  <si>
    <t>施法者等级</t>
  </si>
  <si>
    <t>炼金师</t>
  </si>
  <si>
    <t>魔炮师</t>
  </si>
  <si>
    <t>装甲师</t>
  </si>
  <si>
    <t>战地工匠</t>
  </si>
  <si>
    <t>最小数据</t>
  </si>
  <si>
    <t>最大数据</t>
  </si>
  <si>
    <t>豁免熟练</t>
  </si>
  <si>
    <t>力量与体质</t>
  </si>
  <si>
    <t>敏捷与魅力</t>
  </si>
  <si>
    <t>感知与魅力</t>
  </si>
  <si>
    <t>智力与感知</t>
  </si>
  <si>
    <t>力量与敏捷</t>
  </si>
  <si>
    <t>敏捷与智力</t>
  </si>
  <si>
    <t>体质与魅力</t>
  </si>
  <si>
    <t>选择2项：驯兽、运动、威吓、自然、察觉或求生</t>
  </si>
  <si>
    <t>任选3项</t>
  </si>
  <si>
    <t>选择2项：历史，洞悉，医药，说服或宗教</t>
  </si>
  <si>
    <t>选择2项：奥秘、驯兽、洞悉、医疗、自然、察觉、宗教或求生</t>
  </si>
  <si>
    <t>选择2项：特技、驯兽、运动、历史、洞悉、威吓、游说、察觉或求生</t>
  </si>
  <si>
    <t>选择2项：特技、运动、历史、洞悉、宗教或隐匿</t>
  </si>
  <si>
    <t>选择2项：运动、洞悉、威吓、医疗、说服或宗教</t>
  </si>
  <si>
    <t>选择3项：驯兽、运动、洞悉，调查，自然、察觉、隐匿或求生</t>
  </si>
  <si>
    <t>选择2项：特技、运动、欺瞒、洞悉、恐吓、调查、察觉、说服、巧手或隐匿</t>
  </si>
  <si>
    <t>选择2项：奥秘、欺瞒、洞悉、威吓、游说或宗教</t>
  </si>
  <si>
    <t>选择2项：奥秘、欺瞒、历史、威吓、调查、自然或宗教</t>
  </si>
  <si>
    <t>选择2项：奥秘、历史、洞悉、调查、医疗、自然或宗教</t>
  </si>
  <si>
    <t>武器熟练</t>
  </si>
  <si>
    <t>简易和军用武器</t>
  </si>
  <si>
    <t>简易武器</t>
  </si>
  <si>
    <t>简易与具备轻型词条的军用武器</t>
  </si>
  <si>
    <t>简易武器和具有灵巧或轻型词条的军用武器</t>
  </si>
  <si>
    <t>无</t>
  </si>
  <si>
    <t>任选3项乐器</t>
  </si>
  <si>
    <t>选择1种工匠工具或乐器</t>
  </si>
  <si>
    <t>护甲受训</t>
  </si>
  <si>
    <t>轻甲、中甲和盾牌</t>
  </si>
  <si>
    <t>轻甲</t>
  </si>
  <si>
    <t>轻甲和盾牌</t>
  </si>
  <si>
    <t>轻甲、中甲、重甲和盾牌</t>
  </si>
  <si>
    <t>起始装备</t>
  </si>
  <si>
    <t>选择A或B：(A) 巨斧，4把手斧，探索套组以及15GP；或者(B) 75GP</t>
  </si>
  <si>
    <t>选择A或B：(A) 皮甲，2把匕首，你选择的乐器，艺人套组 以及19GP；或者(B) 90GP</t>
  </si>
  <si>
    <t xml:space="preserve">选择A或B：(A) 链甲衫，盾牌，硬头锤，圣徽，祭司套组 以及7GP；或(B) 110GP </t>
  </si>
  <si>
    <t xml:space="preserve">选择A或B：(A) 皮甲，盾牌，镰刀，德鲁伊法器（长棍），探索套组，草药工具以及9GP；或者(B) 50GP
</t>
  </si>
  <si>
    <t>选择A、B或C：(A)链甲，巨剑，链枷，8杆标枪，地城套组以及4GP；或者(B) 镶钉皮甲，弯刀，短剑，长弓，20支箭矢，箭袋，地城套组 以及11GP；或者(C) 155GP</t>
  </si>
  <si>
    <t>起始装备Starting Equipment  选择A或B：(A)矛，5把匕首，你在工具熟练中所选择的工匠工具或乐器，探索套组以及11GP；或者(B) 50GP</t>
  </si>
  <si>
    <t>选择A或B：(A) 链甲，盾牌，长剑，6根标枪，圣徽，祭司套组以及9GP；或者(B) 150GP</t>
  </si>
  <si>
    <t>选择A或B：(A) 镶钉皮甲、弯刀、短剑、长弓、20支箭、箭袋、德鲁伊法器（槲寄生枝条）、探索套组以及7GP；或者(B) 150GP</t>
  </si>
  <si>
    <t>选择A或B：(A)皮甲，2把匕首，短剑，短弓，20支箭矢，箭袋，盗贼工具，窃贼套组以及8GP；或者(B) 100GP</t>
  </si>
  <si>
    <t>选择A或B：(A)矛，2把匕首，奥术法器（水晶），地城套组以及28 GP；或者(B) 50GP</t>
  </si>
  <si>
    <t>选择A或B：(A) 皮甲，镰刀， 2把匕首 ，奥术法器（法球），书（隐秘学识），学者套组 以及15GP；或者(B) 100GP</t>
  </si>
  <si>
    <t>选择A或B：(A) 2把匕首，奥术法器（长棍），长袍，法术书，学者套组 以及5GP；或(B) 55GP</t>
  </si>
  <si>
    <t>狂暴</t>
  </si>
  <si>
    <t>你可以将名为狂暴的原初之力赋予己身，为你带来超越常规的伟力和韧性。未着装重甲时，你能够以一个附赠动作进入狂暴。
你可以进入狂暴的次数见野蛮人特性表中狂暴一栏。当你完成一次短休时，你重获一次已消耗的使用次数；当你完成一次长休时，你重获所有已消耗的使用次数。 
狂暴激活期间，你将遵循以下这些规则： 
伤害抗性Damage Resistance。你具有钝击，穿刺和挥砍伤害的抗性。
狂暴伤害Rage Damage。当你使用力量发动一次攻击并对目标造成伤害时（无论这是一次武器攻击还是一次徒手打击），你的伤害掷骰获得额外加值，这个加值随着你的野蛮人等级提升，见野蛮人特性表中狂暴伤害一栏。 
力量优势Strength Advantage。 你的力量检定和力量豁免检定具有优势。 
无法专注或施法No Concentration or Spells。你无法保持专注，也不能施展法术。 
持续时间Duration。狂暴持续至你的下个回合结束，如果你穿戴重甲或陷入失能状态，狂暴提前结束。如果在你的下一回合狂暴仍处于激活状态，你可以通过以下选项之一令狂暴延长一轮： 
对一名敌人进行一次攻击检定。
迫使一名敌人进行一次豁免检定。
以一个附赠动作延长你的狂暴。
每当狂暴被延长，都会持续至你的下个回合结束。你至多可以维持狂暴10分钟。</t>
  </si>
  <si>
    <t>吟游诗人激励</t>
  </si>
  <si>
    <t xml:space="preserve">你可以用语言，音乐或舞蹈的形式对他人进行超自然的激励。这种激励的表现形式为数颗D6骰，这些骰子被称为诗人激励骰。
使用诗人激励Using Bardic Inspriration。 以一个附赠动作，你可以激励位于你60尺内的另一名能听见或看见你的生物。那名生物获得一枚你的诗人激励骰。一个生物同一时间只能拥有一枚诗人激励骰。在接下来的1小时内，当那名生物在一次D20检定中失败时，那名生物可以投掷诗人激励骰并将掷骰结果附加到该次d20中，这可能将失败变为成功。诗人激励骰将在投掷时已消耗。 
使用次数Number of Uses。 你可以授予诗人激励骰的次数等于你的魅力调整值（最少1次），当你完成长休时，你重获所有已消耗的使用次数。
更高等级At Higher Levels。你的诗人激励骰会在你到达特定吟游诗人等级时改变，如吟游诗人特性表中的诗人骰所示。你的诗人骰会在5级时变为d8，在10级时变为d10，在15级时变为d12。 </t>
  </si>
  <si>
    <t>施法</t>
  </si>
  <si>
    <t>你通过祈祷，冥想与奉献习得如何施法。施法规则见第七章。下文将详述如何将这些规则应用于牧师法术，牧师法术详见本章后文职业描述中的牧师法术列表。</t>
  </si>
  <si>
    <t>你通过研究自然的神秘伟力学会了如何施展法术。施法规则见第七章。下文将详述如何将这些规则应用于德鲁伊法术，德鲁伊法术详见本章后文职业描述中的德鲁伊法术列表。</t>
  </si>
  <si>
    <t>战斗风格</t>
  </si>
  <si>
    <t>你不断磨练你的武艺。你获得一项你选择的战斗风格专长（见第五章）。推荐选择防御。
每当你获得战士等级时，你可以将其改为另一个战斗风格专长。</t>
  </si>
  <si>
    <t>武艺</t>
  </si>
  <si>
    <t>你的武艺修行让你将徒手打击与武僧武器的使用方式烂熟于心。武僧武器包括：
简易近战武器
拥有轻型词条的军用近战武器
未着装任何护甲也没持用盾牌时，如果你徒手或只持用武僧武器，则你获得下列增益：
附赠徒手打击Bonus Unarmed Strike。你可以用附赠动作发动一次徒手打击。　
武艺骰Martial Arts Die。你使用徒手打击或武僧武器进行攻击时，可以选择用1d6骰代替原本的伤害骰。该骰子将随武僧职业等级的提升而增大，具体数据见武僧特性表中的武艺骰一列。
敏捷攻击Dexterous Attacks。你使用徒手打击或武僧武器进行攻击时，可以用敏捷代替力量进行攻击检定和伤害掷骰。此外，当你使用徒手打击的擒抱或推撞选项时，你也可以使用你的敏捷代替力量决定豁免DC。</t>
  </si>
  <si>
    <t>圣疗</t>
  </si>
  <si>
    <t>你的触碰溢满祝福，可以医治伤口。你获得一个治疗能量池，其内的治疗能量在每次完成长休后自动补满。治疗能量池储备的可恢复生命值总值等于你的圣武士职业等级×5。
你能够以一个附赠动作触碰一个生物（可以是你自己），并抽取治疗能量池中的能量恢复该生物的生命值，其恢复量最多等于你治疗能量池中剩余的治疗量。
此外，你也可以使用5点治疗量来移除目标身上的中毒状态，而非恢复生命值。</t>
  </si>
  <si>
    <t>你学会运用自然世界的魔法本源进行施法。施法规则见第七章。下文将详述如何将这些规则应用于游侠法术，游侠法术详见本章后文职业描述中的游侠法术表。</t>
  </si>
  <si>
    <t>专精</t>
  </si>
  <si>
    <t>你获得两项由你选择的你已熟练的技能的专精。
如果你有这两项技能的熟练的话，推荐选择巧手和隐匿。
当你的游荡者等级为6级时，你额外再获得两项由你选择的你已熟练的技能的专精。</t>
  </si>
  <si>
    <t>你从你的天生魔法汲取魔力用于施展法术。参见第7章有关施法的规则。下述信息将详述如何将这些规则应用于术士法术，术士法术详见本章后文职业描述中的术士法表。</t>
  </si>
  <si>
    <t>魔能祈唤</t>
  </si>
  <si>
    <t>你在神秘学识的研习过程中发掘出了使用魔能祈唤的方式，这些禁忌的知识残章让你获得了持久的魔法能力。你获得一个自选的魔能祈唤，如书之魔契Pact of the Tome（详见后文“魔能祈唤选项“）。
先决Prerequisites。如果一个魔能祈唤具有先决，那你必须满足它才能选取。例如，若一个魔能祈唤需要你具有魔契师等级5+，你在魔契师到达5级时才可以选择该祈唤。
替换与获取魔能祈唤Replacing and Gaining Invocation。每当你获得一级魔契师等级时，你都可以用新的祈唤替换一个已学会的祈唤，但你必须满足其先决条件。如果某个祈唤是另一个祈唤的先决条件，那你无法替换它。
当你到达特定的魔契师等级时，你还可以习得更多的魔能祈唤，具体数据见魔契师特性表中“祈唤”一栏。
你不能多次重复选择同一个魔能祈唤，除非该祈唤的描述另有说明。</t>
  </si>
  <si>
    <t>你已经入门了奥术魔法，学会了如何施展法术。施法规则见第七章。下文将详述如何将这些规则应用于法师法术，法师法术详见本章后文职业描述中的法师法术表。</t>
  </si>
  <si>
    <t>无甲防御</t>
  </si>
  <si>
    <t>你未着装任何护甲期间，你的基础护甲等级等于10+你的敏捷调整值+你的体质调整值。你可以使用盾牌并仍从此特性获益。</t>
  </si>
  <si>
    <t>你从吟游艺术中学会了如何施展法术。施法规则见第七章。下文将详述如何将这些规则应用于吟游诗人法术，吟游诗人法术详见本章后文职业描述中的吟游诗人法术列表。</t>
  </si>
  <si>
    <t xml:space="preserve">你已知两道你选择的牧师戏法。推荐选择神导术Guidance，圣火术Sacred Flame和奇术Thaumaturgy。
每当你获得一个牧师等级时，你都能从你的戏法中选择其一替换为另一道你所选择的牧师戏法。
当你的牧师等级到达4级和10级时，你都能另选一道牧师戏法并习得，如牧师特性表中戏法一列所示。 </t>
  </si>
  <si>
    <t>你已知两道你选择的德鲁伊戏法。推荐选择德鲁伊伎俩Druidcraft和燃火术Produce Flame。
你都能从此特性的戏法中选择其一替换为另一道你所选择的德鲁伊戏法。
当你的德鲁伊等级到达4级和10级时，你都能另选一道德鲁伊戏法并习得，如德鲁伊特性表中戏法一列所示。</t>
  </si>
  <si>
    <t>回气</t>
  </si>
  <si>
    <t>你可以利用有限的精力与体力来重整旗鼓。以一个附赠动作，你可以用此法恢复生命值，其总值为1d10＋你的战士职业等级。
你可以使用此特性两次，并且在完成短休后恢复一次已消耗的使用次数，完成长休后恢复所有已消耗的使用次数。
当你到达特定战士等级时，你获得这项特性的额外使用次数，已列在战士特性表的回气一列。</t>
  </si>
  <si>
    <t>未着装任何护甲也没持用盾牌时，你的AC值等于10＋你的敏捷调整值＋你的感知调整值。</t>
  </si>
  <si>
    <t>你已经学会了如何通过祈祷与冥想来施展法术。施法规则见第七章。下文将详述如何将这些规则应用于圣武士法术，圣武士法术详见本章后文职业描述中的圣武士法术列表。</t>
  </si>
  <si>
    <t>游侠特性表显示了你可用于施展一环及以上法术的法术位数量。当你完成长休时，你重获所有已消耗的法术位。</t>
  </si>
  <si>
    <t>偷袭</t>
  </si>
  <si>
    <t>你知道如何利用敌人的分心并发动致命的精巧打击。每个回合一次，当你的攻击检定命中了一个生物时，你可以造成1d6的额外伤害。这次攻击必须使用一把灵巧或远程武器并具有优势。额外伤害的伤害类型与该武器的伤害类型一致。
除此之外，若你的目标周围5尺内有你的盟友，并且该盟友没有陷入失能状态，你的攻击检定也没有劣势的话，则你不需要优势也造成额外伤害。
你的额外伤害会随着你的游荡者等级提高而增长，具体如游荡者特性表中的偷袭一列所示。</t>
  </si>
  <si>
    <t>你已知4个你选择的术士戏法。推荐选择光亮术Light、魔法伎俩Prestidigitation、电爪Shocking Grasp和术法爆发Sorcerous Burst。每当你获得一个术士等级时，你都能将通过此特性已知的其中一个戏法替换为另一个你所选择的术士戏法。
当你的术士等级达到4级和10级时，你都能另选一道术士戏法并习得，如术士特性表中戏法一列所示。</t>
  </si>
  <si>
    <t>苦痛魔爆</t>
  </si>
  <si>
    <t>先决：魔契师等级2+，已知一道能造成伤害的魔契师戏法 
选择一道你已知的造成伤害的魔契师戏法。你可以将你的魅力调整值加到该法术的每次伤害掷骰中。
复选Repeatable。你可以多次选择本祈唤。每次这么做时，你都必须选择不同的满足先决的戏法。</t>
  </si>
  <si>
    <t>已知三道你选择的法师戏法。推荐选择光亮术Light、法师之手Mage Hand 和冷冻射线Ray of Frost 。
每当你完成一次长休时，你都能从此特性的戏法中选择其一替换为另一道你所选择的法师戏法。
当你的法师等级到达4级和10级时，你都能另选一道法师戏法并习得，如法师特性表中戏法一列所示。</t>
  </si>
  <si>
    <t>武器精通</t>
  </si>
  <si>
    <t>你对武器的训练使你能够运用两种自选的简易或军用近战武器的精通属性，例如巨斧和手斧。每当你完成一次长休时，你可以重新演练武器技巧，来改变你所选择的其中一个武器类型。
当你获得特定的野蛮人等级时，你还可以使用更多种类武器的精通属性，详见野蛮人特性表中武器精通一栏。</t>
  </si>
  <si>
    <t>你已知两道你选择的吟游诗人戏法。推荐选择舞光术Dancing Light和恶言相加Vicious Mockery。</t>
  </si>
  <si>
    <t xml:space="preserve">牧师特性表显示了你可用于施展一环及以上法术的法术位数量。当你完成长休时，你重获所有已消耗的法术位。 </t>
  </si>
  <si>
    <t>德鲁伊特性表显示了你可用于施展一环及以上法术的法术位数量。当你完成长休时，你重获所有已消耗的法术位。</t>
  </si>
  <si>
    <t>你对武器的训练使你能够自选并使用3种已熟练武器的精通词条。每当你完成一次长休时，你都可以练习武器技艺并改变你所选择的其中一种武器类型。
当你到达特定战士等级时，你可以使用更多种类武器的精通词条，已列在战士特性表的武器精通一列。</t>
  </si>
  <si>
    <t>武僧武功</t>
  </si>
  <si>
    <t>通过运转玄功和习练武艺，你便得以掌握自身非凡的内在能量。功力点代表着你所能使用的这份能量。你的武僧等级决定了你拥有多少功力点，具体数据见武僧特性表中的功力点一列。你可以消耗功力点来增强或启动特定的武僧特性。你一开始掌握三种特性：疾风连击，坚强防御，疾步如风。细节见下。
每当你消耗1点功力时，直到你完成一次短休或者长休前其将暂时不可以再被使用。在完成休息时，你将回复所有已消耗的功力点。
你的某些特性会要求你的目标进行豁免以对抗该特性的效果，这些特性的豁免DC为8+你的感知调整值+你的熟练加值。
疾风连击Flurry of Blows。你可以消耗1点功力，以一个附赠动作发动两次徒手打击。
坚强防御Patient Defense。你能以一个附赠动作执行撤离动作。此外，你可以消耗1点功力，以一个附赠动作同时执行撤离与回避动作。
疾步如风Step of the Wind。你能以一个附赠动作执行疾走动作。此外，你可以消耗1点功力，以一个附赠动作同时执行撤离与疾走 动作，同时使你该回合内的跳跃距离翻倍。</t>
  </si>
  <si>
    <t>圣武士特性表显示了你可用于施展一环及以上法术的法术位数量。当你完成长休时，你重获所有已消耗的法术位。</t>
  </si>
  <si>
    <t>准备法术</t>
  </si>
  <si>
    <t>你准备可供你以此特性施展的一环及更高环阶的法术列表。最初，选择两道游侠法术。推荐选择捕获打击Ensnaring Strike和疗伤术Cure Wounds。
已准备法术数量会随你游侠等级的提升而增加，如游侠特性表中的准备法术一列所示。每当这一列的数字增加时，从游侠法术列表中选择额外法术准备，直至已准备法术的数量与表格中的数字一致。你所选择法术的环阶必须是你所拥有法术位对应的环阶。例如，如果你是一名5级游侠，则你的准备法术列表能包括六道一环或二环的游侠法术，随意组合。
如果游侠的其他特性给了你始终准备了的法术，这些法术不计入你以此法准备的法术数量，但这些法术对你而言都视为游侠法术。</t>
  </si>
  <si>
    <t>你在施展自己游荡者才华的社区里学习了多样的语言。你习得盗贼黑话和第二章的语言表中的一项语言。</t>
  </si>
  <si>
    <t>术士特性表显示了你可用于施展一环及以上法术的法术位数量。当你完成长休时，你重获所有已消耗的法术位。</t>
  </si>
  <si>
    <t>幽影护甲</t>
  </si>
  <si>
    <t>你可以随意以自身为目标施展法师护甲Mage Armor 且无需消耗法术位。</t>
  </si>
  <si>
    <t>你在法师学徒阶段获取的所有成果汇集于一本独特的书：你的法术书。它是一个重3磅的微型物件，内有100页，并且只能被你自己或者施展了鉴定术Identify的人阅读。你来决定法术书的外貌和材料，比如一本镶金边的典籍或用麻绳装订的牛皮纸集。
这本书包含所有你已知的一环及以上的法术。最初，它记录着六道法师法术。推荐选择侦测魔法Detect Magic、羽落术Feather Fall、法师护甲Mage Armor、魔法飞弹Magic Missile、睡眠术Sleep和雷鸣波Thunderwave。
1级之后每当你获得一个法师等级时，你就可以往法术书中添加两道你选择的法师法术。你所选择法术的环阶必须是你所拥有法术位对应的环阶，你所拥有的法术位如法师特性表中所示。这些法术是你定期进行奥术研究的成果。</t>
  </si>
  <si>
    <t>危机感应</t>
  </si>
  <si>
    <t>当非常事态发生时，一种不可思议的感觉降临你的心头，指引你更好的躲避危机。只要你未陷入失能状态，你的敏捷豁免检定就具有优势。</t>
  </si>
  <si>
    <t>吟游诗人特性表显示了你可用于施展一环及以上法术的法术位数量。当你完成长休时，你重获所有已消耗的法术位。</t>
  </si>
  <si>
    <t xml:space="preserve">你准备可供你以此特性施展的一环及更高环阶的法术列表。最初，选择四道牧师法术。推荐选择祝福术Bless，疗伤术Cure Wounds，光导箭Guiding Bolt和虔诚护盾Shield of Faith。
已准备法术数量会随你牧师等级的提升而增加，如牧师特性表中的准备法术一列所示。每当这一列的数字增加时，从牧师法术列表中选择额外法术准备，直至已准备法术的数量与表格中的数字一致。你所选择法术的环阶必须是你所拥有法术位对应的环阶。例如，如果你是一名3级牧师，则你的准备法术列表能包括六道一环或二环的牧师法术，随意组合。
如果牧师的其他特性给了你始终准备了的法术，这些法术不计入你以此法准备的法术数量，但这些法术对你而言都视为牧师法术。 </t>
  </si>
  <si>
    <t>你准备可供你以此特性施展的一环及更高环阶的法术列表。最初，选择四道德鲁伊法术。推荐选择化兽为友Animal Friendship、疗伤术Cure Wound、妖火Faerie Fire和雷鸣波Thunderwave。
已准备法术数量会随你德鲁伊等级的提升而增加，如德鲁伊特性表中的准备法术一列所示。每当这一列的数字增加时，从德鲁伊法术列表中选择额外法术准备，直至已准备法术的数量与表格中的数字一致。你所选择法术的环阶必须是你所拥有法术位对应的环阶。例如，如果你是一名3级德鲁伊，则你的准备法术列表能包括六道一环或二环的德鲁伊法术，随意组合。
如果德鲁伊的其他特性给了你始终准备了的法术，这些法术不计入你以此法准备的法术数量，但这些法术对你而言都视为德鲁伊法术。</t>
  </si>
  <si>
    <t>动作如潮</t>
  </si>
  <si>
    <t>你可以在短期内让自己突破身为凡骨的极限。在你的回合中，你可以执行一个额外的动作，但不能是魔法动作。
你使用此特性后，你必须在完成一次短休或长休后才能再次使用。第17级起，你可以在每次休息之间使用此特性两次，但每回合只能使用一次。</t>
  </si>
  <si>
    <t>无甲移动</t>
  </si>
  <si>
    <t>当未着装任何护甲也没持用盾牌时，你的速度提升10尺。该加值将随着武僧职业等级的提升而增加，具体数值见武僧特性表。</t>
  </si>
  <si>
    <t>你准备可供你以此特性施展的一环及更高环阶的法术列表。最初，选择两道圣武士法术推荐选择英雄气概Heroism和炽焰斩Searing Smite。
已准备法术数量会随你圣武士等级的提升而增加，如圣武士特性表中的准备法术一列所示。每当这一列的数字增加时，法术列表中选择额外法术准备，直至已准备法术的数量与表格中的数字一致。你所选择法术的环阶必须是你所拥有法术位对应的环阶。例如，如果你是一名5级的圣武士，则你的准备法术列表能包括六道一环或二环的牧师法术，随意组合。
如果圣武士的其他特性给了你始终准备了的法术，这些法术不计入你以此法准备的法术数量，但这些法术对你而言都视为圣武士法术。</t>
  </si>
  <si>
    <t>改变你的准备法术</t>
  </si>
  <si>
    <t xml:space="preserve">每当你完成一次长休时，你可以将你准备列表上的一道或更多法术替换为其他游侠法术，新替换的法术必须是你拥有法术位的法术。 </t>
  </si>
  <si>
    <t>你对武器的训练使你能够运用两种自选熟练武器的精通属性，比如选择匕首和短弓。
当你完成一次长休时，你可以改变你所选择的武器类型。比如你可以改为使用弯刀和短剑。</t>
  </si>
  <si>
    <t>你准备可供你以此特性施展的一环及更高环阶的法术列表。。最初，选择两道术士法术。推荐选择燃烧之手Burning Hands和侦测魔法Detect Magic 。
已准备法术数量会随你术士等级的提升而增加，如术士特性表中的准备法术一列所示。每当这一列的数字增加时，从术士法术列表中选择额外法术准备，直至已准备法术的数量与表格中的数字一致。你所选择法术的环阶必须是你所拥有法术位对应的环阶。例如，如果你是一位3级术士，则你的准备法术列表能包括六道一环或二环的术士法术，随意组合。
如果术士的其他特性给了你始终准备了的法术，这些法术不计入你以此法准备的法术数量，但这些法术对你而言都视为术士法术。</t>
  </si>
  <si>
    <t>星移步法</t>
  </si>
  <si>
    <t>先决：魔契师等级5+
你可以随意以自身为目标施展浮空术Levitate 且无需消耗法术位。</t>
  </si>
  <si>
    <t>法师特性表显示了你可用于施展一环及以上法术的法术位数量。你在完成一次长休时恢复所有已消耗的法术位。</t>
  </si>
  <si>
    <t>鲁莽攻击</t>
  </si>
  <si>
    <t>你可以抛弃一切对防御的顾虑来发起更加狂乱的攻击。你在你的回合中进行第一次攻击检定时，可以不顾一切地发起攻势。若如此做，直至你的下个回合开始，你使用力量进行的攻击检定具有优势，但在此期间所有以你为目标的攻击检定也具有优势。</t>
  </si>
  <si>
    <t>你准备可供你以此特性施展的一环及更高环阶的法术列表。最初，选择四道吟游诗人法术。推荐选择魅惑类人Charm person，七彩喷射Color Spray，不谐低语Dissonant Whispers和治愈真言Healing Word。
已准备法术数量会随你吟游诗人等级的提升而增加，如吟游诗人特性表中的准备法术一列所示。每当这一列的数字增加时，从吟游诗人法术列表中选择额外法术准备，直至已准备法术的数量与表格中的数字一致。你所选择法术的环阶必须是你所拥有法术位对应的环阶。例如，如果你是一名3级吟游诗人，则你的准备法术列表能包括六道一环或二环的吟游诗人法术，随意组合。
如果吟游诗人的其他特性给了你始终准备了的法术，这些法术不计入你以此法准备的法术数量，但这些法术对你而言都视为吟游诗人法术。</t>
  </si>
  <si>
    <t xml:space="preserve">每当你完成一次长休时，你可以将你准备列表上的一道或更多法术替换为其他牧师法术，新替换的法术必须是你拥有法术位的法术。 </t>
  </si>
  <si>
    <t xml:space="preserve">当你完成一次长休时，你可以将你准备列表上的一道或更多法术替换为其他德鲁伊法术，新替换的法术必须是你拥有法术位的法术。 </t>
  </si>
  <si>
    <t>战术思维</t>
  </si>
  <si>
    <t>在战场内外，你都能够运用你的战术思维。当你在一次属性检定上失败时，你可以消耗一次回气次数让你更接近成功。你掷1d10并将骰值加入到结果之中，而非恢复生命值。这可能会让结果变为成功。如果检定依旧失败，则不会消耗回气次数。</t>
  </si>
  <si>
    <t>运转周天</t>
  </si>
  <si>
    <t>当你投掷先攻时，你可以回复所有已消耗的功力点。若你如此做，掷你的武艺骰，并且回复其结果+你的武僧等级的生命值。
使用此特性后，你必须完成一次长休才能再次使用。</t>
  </si>
  <si>
    <t xml:space="preserve">每当你完成一次长休时，你可以将你准备列表上的一道或更多法术替换为其他圣武士法术，新替换的法术必须是你拥有法术位的法术。 </t>
  </si>
  <si>
    <t>施法属性</t>
  </si>
  <si>
    <t>你游侠法术的施法属性是感知。</t>
  </si>
  <si>
    <t>灵巧动作</t>
  </si>
  <si>
    <t>你精妙的思维与身手使你的行动无比迅速。在你的回合内，你能够以附赠动作执行疾走，撤离或躲藏动作之一。</t>
  </si>
  <si>
    <t>每当你获得一个术士等级时，你就可以将你准备列表上的一道法术替换为另一道术士法术，你必须拥有替换后法术对应环阶的法术位才可以替换。</t>
  </si>
  <si>
    <t>魔鬼视界</t>
  </si>
  <si>
    <t xml:space="preserve">先决：魔契师等级2+
你在黑暗和微光光照中拥有120尺的可视距离，而无论其属于魔法性的还是非魔法性的。 </t>
  </si>
  <si>
    <t>你准备可供你以此特性施展的一环及更高环阶的法术列表。为此，从书中选择四道法师法术。你所选择法术的环阶必须是你所拥有法术位对应的环阶
已准备法术数量会随你法师等级的提升而增加，如法师特性表中的准备法术一列所示。每当这一列的数字增加时，从法师法术列表中选择额外法术准备，直至已准备法术的数量与表格中的数字一致。你所选择法术的环阶必须是你所拥有法术位对应的环阶。例如，如果你是一名3级法师，则你的准备法术列表能包括六道一环或二环的法师法术，随意组合。
如果法师的其他特性给了你始终准备了的法术，这些法术不计入你以此法准备的法术数量，但这些法术对你而言都视为法师法术。</t>
  </si>
  <si>
    <t>野蛮人子职</t>
  </si>
  <si>
    <t>你选择获得一项野蛮人子职：狂战士道途，兽心道途，世界树道途或狂热者道途。子职的内容见后文。子职是一种特化，在特定的野蛮人等级给予你对应的独特能力。此后你将获得你所选的子职所有能力——只要其所需等级不超过你的野蛮人等级。野蛮人特性表列出了你从子职中获得新特性的野蛮人等级。</t>
  </si>
  <si>
    <t>每当你获得一个吟游诗人等级时，你就可以将你准备列表上的一道法术替换为另一道吟游诗人法术，你必须拥有替换后法术对应环阶的法术位才可以替换。</t>
  </si>
  <si>
    <t xml:space="preserve">你牧师法术的施法属性是感知。 </t>
  </si>
  <si>
    <t>你德鲁伊法术的施法属性是感知。</t>
  </si>
  <si>
    <t>战士子职</t>
  </si>
  <si>
    <t xml:space="preserve">你选择获得一项战士子职：战斗大师、 勇士 、 奥法骑士或 灵能武士。子职的内容见后文。子职是一种特化，在特定的战士等级给予你对应的独特能力。此后你将获得你所选的子职所有能力——只要其所需等级不超过你的战士等级。战士特性表列出了你从子职中获得新特性的战士等级。 </t>
  </si>
  <si>
    <t>拨挡攻击</t>
  </si>
  <si>
    <t>当你被一次伤害中包含钝击，穿刺或挥砍伤害的攻击检定命中时，你可以执行反应减少此次攻击对你造成伤害的总值，减值等于1d10+你的敏捷调整值+你的武僧等级。
若被拨挡攻击的伤害减少至0，则你可以消耗1点功力将此次攻击的部分伤害重新定向。如果是近战攻击，选择你周围5尺内的一个你可见的生物；如果是远程攻击，选择60尺内一个不位于全身掩护后的你可见的生物。该生物必须成功通过一次敏捷豁免，否则受到相当于你2个武艺骰+你的敏捷调整值的伤害。其伤害类型与原先攻击的伤害类型相同。</t>
  </si>
  <si>
    <t>你圣武士法术的施法属性是魅力。</t>
  </si>
  <si>
    <t>施法法器</t>
  </si>
  <si>
    <t>你可以使用德鲁伊法器作为你游侠法术的施法法器。</t>
  </si>
  <si>
    <t>游荡者子职</t>
  </si>
  <si>
    <t>你选择获得一项游荡者子职：诡术师，刺客， 魂刃 或 盗贼。子职的内容见后文。子职是一种特化，在特定的游荡者等级给予你对应的独特能力。此后你将获得你所选的子职所有能力——只要其所需等级不超过你的游荡者等级。游荡者特性表列出了你从子职中获得新特性的游荡者等级。</t>
  </si>
  <si>
    <t>你术士法术的施法属性是魅力。</t>
  </si>
  <si>
    <t>灭世魔刃</t>
  </si>
  <si>
    <t xml:space="preserve">先决：魔契师等级12+，具有饥渴魔刃祈唤
饥渴魔刃祈唤为你提供的额外攻击变为两次而非一次。 </t>
  </si>
  <si>
    <t xml:space="preserve">每当你完成一次长休时，你可以将你准备列表上的一道或更多法术替换为你法术书上的其他法师法术。 </t>
  </si>
  <si>
    <t>原初学识</t>
  </si>
  <si>
    <t>除了1级选择的技能以外，你可以从野蛮人技能列表中额外获得一个技能的熟练。
此外，狂暴激活期间，你可以在尝试完成特定的事项时与原初之力相连。每当你使用以下技能进行一次属性检定时，你可以使用力量进行检定而非通常使用的其他属性：特技，威吓，察觉，隐匿或求生。当你使用这项能力时，你的力量代表着一种环绕你身的原初之力，强化了你的灵敏度、气质和感知力。</t>
  </si>
  <si>
    <t>你吟游诗人法术的施法属性是魅力 。</t>
  </si>
  <si>
    <t xml:space="preserve">你可以使用圣徽作为你牧师法术的施法法器 。 </t>
  </si>
  <si>
    <t>你可以使用德鲁伊法器作为你德鲁伊法术的施法法器。</t>
  </si>
  <si>
    <t>你获得属性值提升专长（见第五章）或其它你满足条件的专长。如战士特性表所示，你还会在第6、第8、第12、第14、第16级时再次获得本特性。</t>
  </si>
  <si>
    <t>武僧子职</t>
  </si>
  <si>
    <t>你选择获得一项武僧子职：命流武者、暗影武者、 四象武者和散打武者。子职的内容见后文。子职是一种特化，在特定的武僧等级给予你对应的独特能力。以后你将获得你所选的子职的所有能力——只要其所需等级不超过你的武僧等级。武僧特性表列出了你从子职中获得新特性的武僧等级。</t>
  </si>
  <si>
    <t>你可以使用圣徽作为你圣武士法术的施法法器 。</t>
  </si>
  <si>
    <t>宿敌</t>
  </si>
  <si>
    <t>你始终准备了法术猎人印记Hunter’s Mark。你可以无需法术位地施展此法术共计两次，并在完成一次长休后恢复此能力的所有使用次数。
你能无需法术位施展该法术的次数会在你获得特定游侠等级时提升，见游侠特性表中的宿敌一栏。</t>
  </si>
  <si>
    <t>稳定瞄准</t>
  </si>
  <si>
    <t xml:space="preserve">以一个附赠动作，你在当前回合为你的下一次攻击提供优势。你只能在你本回合还没有移动的时候使用这个附赠动作，而且在你使用这个附赠动作后，你的速度在当前回合里归0。 </t>
  </si>
  <si>
    <t xml:space="preserve">你可以使用奥术法器作为你术士法术的施法法器。 </t>
  </si>
  <si>
    <t>魔能意志</t>
  </si>
  <si>
    <t xml:space="preserve">你为保持专注所进行的体质豁免具有优势。 </t>
  </si>
  <si>
    <t>你法师法术的施法属性是智力。</t>
  </si>
  <si>
    <t>你获得属性值提升专长（见第五章）或其他你满足条件的专长。如野蛮人特性表所示，你还会在第8，第12，第16级时再次获得本特性。</t>
  </si>
  <si>
    <t xml:space="preserve">可以使用乐器作为你吟游诗人法术的施法法器。 </t>
  </si>
  <si>
    <t>圣职</t>
  </si>
  <si>
    <t>你让自己投身于以下一种由你自己选择的神圣职能：
保护者 Protcetor。通过战斗训练，你获得军用武器熟练与重甲受训。
奇术使 Thaumaturage。你从牧师法术列表中额外学会一道戏法。此外，你与神性的神秘链接使你在智力（奥秘和宗教）检定中获得加值。加值等于你的感知调整值（最小为1）。</t>
  </si>
  <si>
    <t>你学会了德鲁伊语，一门德鲁伊之间的秘密语言。在学会这门古老语言的同时，你也解锁了和动物交谈的魔法：你始终准备了法术动物交谈Speak With Animals。
你可以使用德鲁伊语来传递隐藏的信息。你和其他知晓这门语言的对象能够自动辨认出信息。其他人需要通过DC15的智力（调查）检定才能意识到信息的存在，但不借助魔法则无法解读。</t>
  </si>
  <si>
    <t>额外攻击</t>
  </si>
  <si>
    <t>你在自己回合内执行攻击动作时，可以发动两次攻击而非一次。</t>
  </si>
  <si>
    <t>你获得属性值提升专长（见第五章）或其它你满足条件的专长。如武僧特性表所示，你在第8，第12，第16级时会再次获得本特性。</t>
  </si>
  <si>
    <t>你对武器的训练使你能够运用两种自选熟练武器的精通属性，比如选择长剑和标枪。
当你完成一次长休时，你可以改变你所选择的武器类型。比如你可以改为使用长戟和连枷。</t>
  </si>
  <si>
    <t>你对武器的训练使你能够自选并使用2种已熟练武器的精通词条，例如长弓和短剑。
当你完成一次长休时，你可以改变你所选择的武器类型。比如你可以将其改为弯刀和长剑。</t>
  </si>
  <si>
    <t>你获得属性值提升专长（见第五章）或其它你满足条件的专长。如游荡者特性表所示，你还会在第8，第10，第12，第16级时再次获得本特性。</t>
  </si>
  <si>
    <t>先天术法</t>
  </si>
  <si>
    <t>你过去经历的某件事在你身上留下了不可磨灭的印记，为你注入了难以控制的涌动魔力。以一个附赠动作，你可以将魔力释放而出，持续1分钟。在这1分钟期间，你获得以下增益：
你的术士法术豁免DC+1。
你施展的术士法术的攻击检定具有优势。
你可以使用此特性两次，你在完成一次长休时重获所有已消耗的使用次数。</t>
  </si>
  <si>
    <t>魔能斩</t>
  </si>
  <si>
    <t xml:space="preserve">先决：魔契师等级5+，具有刃之魔契祈唤
每回合一次，当你用契约武器命中一个生物时，你可以消耗一枚契约魔法特性的法术位，以此对目标造成额外 1d8+每法术位环阶1d8 点的力场伤害，如果目标的体型在巨型或以下，则你还可以令目标陷入倒地状态。 </t>
  </si>
  <si>
    <t>你可以使用奥术法器或你的法术书作为你法师法术的施法法器。</t>
  </si>
  <si>
    <t>当你在自己的回合执行攻击动作时，你可以发动两次攻击而非一次。</t>
  </si>
  <si>
    <t xml:space="preserve">你获得两项由你选择的你熟练技能的专精（见术语汇编）。如果你具有表演和游说的熟练，推荐选择这两项。
当你的吟游诗人等级到达9级时，你再额外获得两项由你选择的你熟练技能的专精。 </t>
  </si>
  <si>
    <t>引导神力</t>
  </si>
  <si>
    <t>你能从外层位面引导神圣能量，并用其引动魔法效应。你起始时具有两种选项：神圣火花与驱散亡灵，其效果如下所示。每当你使用你的引导神力时，你选择要创造哪种效应。你会在更高的牧师等级获得更多选项。
你可以使用引导神力两次，你在完成一次短休时恢复一次使用次数，而在完成一次长休时重获所有已使用的次数。你在达到特定的牧师等级时获得额外的使用次数，具体见牧师特性表中引导神力一栏。
如果某个引导神力效应需要目标进行豁免，则其豁免DC等于本职业的施法特性中的法术豁免DC。</t>
  </si>
  <si>
    <t>原初职能</t>
  </si>
  <si>
    <t>你将自己投身于所选择的以下一项神圣的角色之中：
术师Magician。你从德鲁伊法术列表中额外学会一道戏法。此外，你与自然的神秘连接让你在智力（奥秘和自然）检定上获得加值。加值等于你的感知调整值（最低为1）。
卫士Warden。你受到了战斗的训练，获得军用武器熟练和中甲熟练。</t>
  </si>
  <si>
    <t>战术转进</t>
  </si>
  <si>
    <t>每当你使用附赠动作进行回气时，你可以移动至多相当于你速度一半的距离，且不会引发借机攻击。</t>
  </si>
  <si>
    <t>轻身坠</t>
  </si>
  <si>
    <t>当你要承受坠落伤害时，你可以使用反应将伤害减少等同于五倍武僧职业等级的数值。</t>
  </si>
  <si>
    <t>你获得一项战斗风格专长（见第五章）。</t>
  </si>
  <si>
    <t>熟练探险家</t>
  </si>
  <si>
    <t>得益于你的旅途，你获得以下增益。
专精Expertise。选择一项你熟练但不具备专精的技能。你在那个技能上获得专精。
语言Languages。 你习得第二章中的语言表中的两种语言</t>
  </si>
  <si>
    <t>诡诈打击</t>
  </si>
  <si>
    <t>你学会了如何使你的偷袭更加狡诈的方法。当你造成偷袭伤害时，你可以选择下列一种诡诈打击的效果加入到本次偷袭中。每种效果都需要花费一定数量的偷袭伤害骰才能生效。你必须在投掷伤害前扣除所花费的偷袭的伤害骰，而效果会在这次攻击的伤害产生后立即发生。例如，如果你在本次偷袭中选择了淬毒效果，那么你在投掷偷袭伤害骰前需要先减少一颗1d6。
如果一种诡诈打击的效果要求目标进行豁免，其DC为8+你的熟练加值+你的敏捷调整值。
淬毒Poison（花费：1d6）。你为你的打击附上毒素，强迫目标进行一次体质豁免。若失败，目标将陷入一分钟的中毒状态。目标可以在每次自己的回合结束时重新进行豁免，若成功，中毒状态终止。为了使用这个效果，你必须携带一套制毒工具在身上。
摔绊Trip（花费：1d6）。若偷袭的目标是大型及以下，它必须成功通过一次敏捷豁免，否则陷入倒地状态。
撤步Withdraw (花费：1d6)。攻击后你立刻移动至多等于你速度的一半的距离，并且不会引发借机攻击。</t>
  </si>
  <si>
    <t>魔力泉涌</t>
  </si>
  <si>
    <t>你汲取体内的魔力之源，从中涌现的魔力体现为你的可用术法点。你可以使用术法点创造各种魔法效应。
你拥有2点术法点，你在到达更高等级时获得更多术法点，如同术士特性表中术法点一栏所示。你无法拥有比表格中对应数量更多的术法点。你在完成一次长休后重获所有已消耗的术法点。
你可以消耗你的术法点来使用以下特性，例如超魔法。
法术位转化为术法点Converting Spell Slots to Sorcery Points。你可以消耗一个法术位来获得等同于其环位的术法点（无需动作）。
创造法术位Creating Spell Slots。以一个附赠动作，你可以将未消耗的术法点转化为一个法术位。创造法术位表格中展示了创造法术位所需的术法点以及创造它所需的最小术士等级。你无法创造高于五环的法术位。
你以此特性创造的任何法术位都在完成一次长休时消失。
创造法术位Creating Spell Slots 
法术位环阶 术法点消耗 最小术士等级
　　1　　　　2　　　　2
　　2　　　　3　　　　3
　　3　　　　5　　　　5
　　4　　　　6　　　　7
　　5　　　　7　　　　9</t>
  </si>
  <si>
    <t>魔能长枪</t>
  </si>
  <si>
    <t xml:space="preserve">先决：魔契师等级2+，已知一道造成伤害的魔契师戏法 
选择一道你已知的造成伤害且射程至少为10尺的魔契师戏法。当你施展此法术时，其射程增加等于你魔契师等级30倍的尺数。
复选Repeatable。你可以多次选择本祈唤。每次这么做时，你都必须选择不同的满足先决的戏法。 </t>
  </si>
  <si>
    <t>扩展与替换法术书</t>
  </si>
  <si>
    <t>你获得职业等级时添加到法术书中的法术反映了你自己进行的魔法研究，但你可能会在冒险过程中发现其他可以添加至法术书中的法术。例如，你可能在一张法术卷轴Spell Scroll中发现一道法师法术，然后将该法术抄到你的法术书中。</t>
  </si>
  <si>
    <t>快速移动</t>
  </si>
  <si>
    <t>当你未着装重甲时，你的速度提升10尺。</t>
  </si>
  <si>
    <t>你可以将你熟练加值的一半（向下取整）添加到任何你不具备其技能熟练并无法通过其他方式应用熟练加值的属性检定中。
例如，如果你要进行力量（运动）检定，且不具有运动熟练，则你可以将熟练加值的一半添加到检定中。</t>
  </si>
  <si>
    <t>神圣火花</t>
  </si>
  <si>
    <t>以一个魔法动作，你将你的圣徽指向30尺内一个你可见的其他生物，并将神圣能量凝聚于该生物。投掷1d8加上你的感知调整值，你为该生物恢复该数值的生命或迫使其进行一次体质豁免，失败则受到等同该数值的黯蚀或光耀伤害（由你选择），成功则伤害减半（向下取整）。
神圣火花在以下牧师等级获得额外的d8骰：7级（2d8），13级（3d8）以及18级（4d8）。</t>
  </si>
  <si>
    <t>荒野变形</t>
  </si>
  <si>
    <t>大自然的魔力使你得以化形为一只野兽。以一个附赠动作，你变形为一只你已经通过该特性学会的野兽形态（见下文“已知形态”）。你能保持该形态长达你德鲁伊等级一半的小时数，或者直到你再次使用荒野变形，陷入失能，或死亡。你也可以使用一个附赠动作提早结束荒野变形。</t>
  </si>
  <si>
    <t>不屈</t>
  </si>
  <si>
    <t>当你在一次豁免检定中失败时，你可以重投并获得等同你战士等级的加值。你必须使用新的掷骰结果，你使用此特性后，你必须在完成一次长休后才能再次使用。
第13级起，你可以在两次长休之间使用此特性两次；第17级起，你可以在两次长休之间使用此特性三次。</t>
  </si>
  <si>
    <t>圣武斩</t>
  </si>
  <si>
    <t>你始终准备了法术至圣斩Divine Smite 。此外，你可以不消耗法术位地施展该法术一次，而后你必须完成一次长休才能再次这么做。</t>
  </si>
  <si>
    <t>直觉闪避</t>
  </si>
  <si>
    <t>当一个你能看见的攻击者用一次攻击检定命中你时，你可以用你的反应将这次攻击对你造成的伤害减半（向下取整）。</t>
  </si>
  <si>
    <t>超魔法</t>
  </si>
  <si>
    <t>由于你的魔法直接从你体内流向外界，你可以修改你的法术来适应自己的需要。你从超魔法选项中选择并获得2个你所选的超魔法选项。你使用你所选的超魔法来临时改变你施展的法术。要使用一个超魔法选项，你必须消耗等同于其描述中需求的术法点。
当你施展一道法术时，你只能在其上应用一次超魔法选项，除非超魔法选项中另有说明。
每当你获得一级术士等级时，你可以将一个超魔法选项更改为另一个超魔法选项。当你到达10级和17级术士等级时，你可以分别再获得2个超魔法选项。</t>
  </si>
  <si>
    <t>邪魔活力</t>
  </si>
  <si>
    <t xml:space="preserve">先决：魔契师等级2+
你可以施展虚假生命False Life 且无需消耗法术位。当你以此特性施展该法术时，你不需要掷骰来决定临时生命数值，你自动在此骰子上获得最大值。 </t>
  </si>
  <si>
    <t>将一道法术抄写到法术书中</t>
  </si>
  <si>
    <t>如果它是你能进行准备的法术位环阶且你能抽出时间来抄写它，则你可以将其抄写到你的法术书中。每个法术环阶的抄录过程都需要2小时并花费50GP。在此之后，你就可以像准备法术书中的其他法术一样准备该法术了。</t>
  </si>
  <si>
    <t>野性直觉</t>
  </si>
  <si>
    <t>你的直觉变得格外敏锐。你的先攻检定具有优势。</t>
  </si>
  <si>
    <t>吟游诗人子职</t>
  </si>
  <si>
    <t xml:space="preserve">你选择获得一项吟游诗人子职：舞蹈学院，魅心学院，逸闻学院或勇气学院 。子职的内容见后文。子职是一种特化，在特定的吟游诗人等级给予你对应的独特能力。此后你将获得你所选的子职所有能力——只要其所需等级不超过你的吟游诗人等级。吟游诗人特性 表列出了你从子职中获得新特性的吟游诗人等级。 
吟游诗人们会形成被称为“学院 ”的松散联系，用以维持他们的传承。  </t>
  </si>
  <si>
    <t>驱散亡灵</t>
  </si>
  <si>
    <t>以一个魔法动作，你展现圣徽，斥退诸亡灵生物。你30尺内每个由你选择的亡灵都必须进行一次感知豁免，失败则陷入恐慌和失能状态，持续一分钟。在这段持续时间内，被驱散的生物会尽可能远离你。此效应在其受到伤害时提前结束，你陷入失能状态或是死亡也会结束此效应。</t>
  </si>
  <si>
    <t>使用次数</t>
  </si>
  <si>
    <t>你能够使用两次荒野变形。你在完成短休后重获一次已消耗的使用次数，当你完成一次长休时，你重获全部已消耗的使用次数。
你到达特定的德鲁伊等级时会获得额外的使用次数，如德鲁伊表格中荒野变形一栏所示。</t>
  </si>
  <si>
    <t>战术主宰</t>
  </si>
  <si>
    <t>每当你用武器发动攻击，且你可以使用此武器的精通词条时，你可以将此次攻击的精通属性改为推离，削弱或缓速 中的一种。</t>
  </si>
  <si>
    <t>震慑拳</t>
  </si>
  <si>
    <t>每回合一次，当你使用徒手打击或武僧武器命中一个生物后，你可以消耗1点功力尝试发动震慑拳。目标必须进行一次体质豁免，豁免失败则陷入震慑状态，直至你的下个回合开始。若豁免成功，则目标的速度减半，直至你的下个回合开始，并且下一次对该目标进行的攻击检定具有优势。</t>
  </si>
  <si>
    <t>你获得直接从外层位面引导神圣能量的能力，并能用这些能量产生魔法效应。你起始时具有一种选项：神圣感知，其效果如下所示。其他的圣武士特性会给予更多引导神力选项。每当你使用你的引导神力时，你可以选择要创造哪种因此职业习得的效应。
你可以使用两次引导神力，你在完成一次短休后恢复1次使用次数，完成长休后恢复所有已使用的次数。当你的圣武士等级到达11级时，你会获得额外的引导神力次数。
如果一项引导神力效应需要进行豁免，其豁免DC等同于你施法职业特性的法术豁免DC。</t>
  </si>
  <si>
    <t>游侠子职</t>
  </si>
  <si>
    <t>你选择获得一项游侠子职：驯兽师， 妖精漫游者， 幽域追猎者或 猎人。子职的内容见后文。子职是一种特化，在特定的游侠等级给予你对应的独特能力。此后你将获得你所选的子职所有能力——只要其所需等级不超过你的游侠等级。游侠特性表列出了你从子职中获得新特性的游侠等级。</t>
  </si>
  <si>
    <t>反射闪避</t>
  </si>
  <si>
    <t>你可以灵敏地躲避特定的危险。当你受到一个允许你进行敏捷豁免来只承受一半伤害的效应影响时，你在豁免成功时不受伤害，豁免失败时只承受一半伤害。你无法在失能时使用此特性。</t>
  </si>
  <si>
    <t>谨慎法术</t>
  </si>
  <si>
    <t>消耗：1术法点
当你施展一个强迫其他生物进行豁免的法术时，你可以保护某些生物免受法术的危害。你消耗1术法点并选择最多等同于你魅力调整值数量的生物（至少1个）。被选择的生物自动通过法术的豁免检定。如果法术在豁免成功后仍然造成半伤，这些生物不会承受任何伤害。</t>
  </si>
  <si>
    <t>共视感官</t>
  </si>
  <si>
    <t xml:space="preserve">先决：魔契师等级5+
你能够以附赠动作触碰一个自愿的生物，并与其建立起感官的连接。连接状态持续到你下回合结束时终止。其间，只要你与该生物还处于同一位面中，你就可以用附赠动作继续维持连接，使其持续时间延长至你下回合结束时终止。如果你不再使用这种方式延续持续时间，这种连接便会结束。
以所连接生物的感官进行观察时，你将拥有该生物所有的特殊感官的增益，且如果你们之间的距离不超过60尺，你就可以如同在该生物的位置上般施展法术。 </t>
  </si>
  <si>
    <t>替换法术书</t>
  </si>
  <si>
    <t>你可以将法术从你自己的法术书复制到另一本书中。这就像将新法术复制到你的法术书中一样，但更快也更简单，因为你已经知道如何施展这些法术。复制过程只需每个法术环阶花费1小时和10GP。
如果你失去了你的法术书，则你可以使用相同的过程将你已准备的法师法术转录到新的法术书中。你仍需要找到新的法术来填满新书的剩余部分。出于这个原因，许多法师都会保留一本备用法术书。</t>
  </si>
  <si>
    <t>莽驰</t>
  </si>
  <si>
    <t>作为你进入狂暴的附赠动作的一部分，你可以移动至多等于你速度一半的距离。</t>
  </si>
  <si>
    <t xml:space="preserve">你获得属性值提升专长（见第五章）或其他你满足条件的专长。如吟游诗人特性表所示，你还会在第8，第12，第16级时再次获得本特性。 </t>
  </si>
  <si>
    <t>牧师子职</t>
  </si>
  <si>
    <t xml:space="preserve">你选择获得一项牧师子职：生命领域，光明领域， 诡术领域 或 战争领域。子职的内容见后文。子职是一种特化，在特定的牧师等级给予你对应的独特能力。此后你将获得你所选的子职所有能力——只要其所需等级不超过你的牧师等级。牧师特性表列出了你从子职中获得新特性的牧师等级。 
牧师的每个子职都以某神明、神殿或宗教青睐的“领域”命名。 </t>
  </si>
  <si>
    <t>已知形态</t>
  </si>
  <si>
    <t>你一开始掌握了该特性的四种形态，从最大挑战等级1/4且没有飞行速度的野兽（见附录B的生物数据卡）之中选取。推荐老鼠Rat、骑乘用马Riding Horse、蜘蛛Spider和狼Wolf四种形态。当你完成一次长休时，你可以将一种你掌握的形态换为另一种能够选用的形态。
当你到达特定的德鲁伊等级后，你可以掌握新的形态，形态的最大挑战等级也会随之提升，如野兽形态表所示。此外，在8级时，你可以使用具有飞行速度的形态。
当选择已知形态时，如果地下城主允许，你可以查阅《怪物图鉴》或其他来源并从中选择。</t>
  </si>
  <si>
    <t>额外攻击（二）</t>
  </si>
  <si>
    <t>你在自己回合内执行攻击动作时，可以发动三次攻击而非一次。</t>
  </si>
  <si>
    <t>真力注拳</t>
  </si>
  <si>
    <t>当你使用徒手打击造成伤害时，你可以选择造成力场伤害或是其原本的伤害类型。</t>
  </si>
  <si>
    <t>神圣感知</t>
  </si>
  <si>
    <t>以一个附赠动作，你可以扩展你的意识侦测天界生物，邪魔以及不死生物。持续10分钟内或直到你陷入失能状态为止，你能感知到自身周围60尺内这些生物的位置，以及它们的生物类型。你也可以侦测任何受到圣居Hallow一类的法术祝福或亵渎的地点或物件。</t>
  </si>
  <si>
    <t>你获得属性值提升专长（见第五章）或其它你满足条件的专长。你还会在你的游侠等级达到第8、第12和第16级时再次获得本特性。</t>
  </si>
  <si>
    <t>可靠才能</t>
  </si>
  <si>
    <t>每当你进行属性检定，并且可以运用你的某项技能熟练项或工具熟练项时，你可以将D20投出的9及以下的结果视为10。</t>
  </si>
  <si>
    <t>远程法术</t>
  </si>
  <si>
    <t>消耗：1术法点
当你施展一个射程至少为5尺的法术时，你可以消耗1术法点来将法术的射程翻倍。
当你施展一个射程为触及的法术时，你可以消耗1术法点来将法术的射程改为30尺。</t>
  </si>
  <si>
    <t>深海馈赠</t>
  </si>
  <si>
    <t xml:space="preserve">先决：魔契师等级5+
你可以在水下呼吸，且你具有等于你速度的游泳速度。
此外，你还可以施展一次水下呼吸Water Breathing且无需消耗法术位。完成一次长休后，你重获以此法施展该法术的能力。 </t>
  </si>
  <si>
    <t>仪式学家</t>
  </si>
  <si>
    <t>你能以仪式施展你法术书中任何带有仪式Ritual标签的法术。你不需要准备这些法术，但你以此法施展法术时必须阅读这本书。</t>
  </si>
  <si>
    <t>凶蛮打击</t>
  </si>
  <si>
    <t>如果你使用了鲁莽攻击，你可以放弃本回合你选择的一次基于力量的攻击检定具有的所有优势（不可选择具有劣势的攻击检定）。被选择的攻击检定命中时，目标将受到1d10的额外伤害，伤害类型与此次攻击所使用的武器或徒手打击造成的伤害类型相同，并且你可以造成一种你所选的凶蛮打击效应。你具有以下效应选项： 
巨力猛击Forceful Blow 。目标被你直线推开15尺距离。随后你可以立刻向该目标移动至多等于你速度一半的距离，并且不会引发借机攻击。 
断筋猛击Hamstring Blow 。直至你的下个回合开始，目标的速度降低15尺。一个生物同一时间只会受到最近一次断筋猛击的影响。</t>
  </si>
  <si>
    <t>激励之源</t>
  </si>
  <si>
    <t xml:space="preserve">现在，当你完成一次短休或长休时，你重获所有已消耗的诗人激励使用次数。
此外，你可以消耗一个法术位（无需动作）来重获一次已消耗的诗人激励使用次数。 </t>
  </si>
  <si>
    <t>你获得属性值提升专长（见第五章）或其它你满足条件的专长。如牧师特性表所示，你在第8，第12，第16级时会再次获得本特性。</t>
  </si>
  <si>
    <t>野兽形态</t>
  </si>
  <si>
    <t>德鲁伊等级 已知形态 最大挑战等级 飞行速度
　　2　　　　4　　　　1/4　　　　无
　　4　　　　6　　　　1/2　　　　无
　　8　　　　8　　　　1　　　　　有</t>
  </si>
  <si>
    <t>究明攻击</t>
  </si>
  <si>
    <t>你已深晓对手的一举一动，并且从每次攻击中吸取经验教训。如果你对一个生物进行攻击检定但失手，那么直到你的下个合结束前，你对其的下次攻击检定具有优势。</t>
  </si>
  <si>
    <t>你在成为某一效应影响对象时，若该效应允许你通过成功的敏捷豁免来使伤害减半，则你在该豁免成功时不受伤害，而豁免失败时只受一半伤害。
如果你处于失能状态，则你无法从此特性中受益。</t>
  </si>
  <si>
    <t>圣武士子职</t>
  </si>
  <si>
    <t>你选择获得一项圣武士子职，从以下选择一项：奉献之誓、 荣耀之誓、 古贤之誓以及复仇之誓。这些子职会在此职业的描述后详细说明。子职是一种特化能力，会在特定的圣武士等级等级给予你对应的独特能力。此后你将获得你所选子职的所有能力——只要其所需等级不超过你的圣武士等级。圣武士特性表列出了你从子职中获得新特性的圣武士等级。
圣武士的每个子职都代表了该圣武士成为圣武士时所需要遵守的誓言主体。其誓言的最终版本——即圣武士在第 3级时所选择的神圣誓言——乃是其此前所有圣武士训练的总结。某些拥有圣武士等级的角色认为，作为未达到第3级并立下誓言的自己并不是真正的圣武士。而另一些圣武士则将立下誓言的行为视为对自己内心信仰的一种正式确认。</t>
  </si>
  <si>
    <t>进阶诡诈打击</t>
  </si>
  <si>
    <t>你在造成偷袭伤害时可以一次性选用两种诡诈打击效果，每种效果都需要独立扣除对应的偷袭伤害骰。</t>
  </si>
  <si>
    <t>强效法术</t>
  </si>
  <si>
    <t>消耗：1术法点
当你为一个法术进行伤害掷骰时，你可以消耗1术法点来重掷最多等同于你魅力调整值数量的伤害骰（至少一个），你必须使用新的结果。
即使你已经在一道法术上使用了其他超魔，你仍然可以使用强效法术。</t>
  </si>
  <si>
    <t>守护馈赠</t>
  </si>
  <si>
    <t xml:space="preserve">先决：魔契师等级9+，具有书之魔契祈唤
你召唤影之书时，一张新的书页会在其中出现。在你的允许之下，一个生物可以使用一个动作来将他的名字写在这一页上，这一页能包括的名字数量等于你的魅力调整值（至少为1）。当一个名字在这一页上的生物生命值降为0，但是还没有立刻死亡，这个生物的生命值魔法化的变为1点。每当这个魔法效应被触发，直到你完成一次长休前，没有任何生物可以再次触发该效应。
你能够以一个魔法动作，以触摸的形式消除一个在书页上的名字。 </t>
  </si>
  <si>
    <t>奥术回想</t>
  </si>
  <si>
    <t>你学会了通过研读法术书来恢复魔法能量的办法。你完成一次短休后，可以选择恢复已消耗的法术位。所恢复的法术位环阶总和不得大于你法师等级的一半（向上取整），且任何一个法术位的环阶都必须小于六环。例如，作为一名4级法师时，你可恢复环阶总数最多为二的法术位。你可以选择恢复一个二环法术位或两个一环法术位。
此特性一经使用，直至完成长休你都无法再次使用。</t>
  </si>
  <si>
    <t>坚韧狂暴</t>
  </si>
  <si>
    <t>你狂暴的力量让你即使身受重伤也能持续战斗。狂暴激活期间，如果你的生命值降至0且并未立即死亡，则你可以进行一次DC10的体质豁免检定。成功则作为替代，你的生命值将变为你野蛮人等级的两倍。
第一次使用此特性后，每当你再次使用此特性时其体质豁免DC提升5。当你完成一次短休或长休后，其DC重置为10。</t>
  </si>
  <si>
    <t>反迷惑</t>
  </si>
  <si>
    <t xml:space="preserve">你可以用带有力量的音符或话语来干扰影响心灵的效应。若你或位于你30尺内的一名生物在对抗施加魅惑或恐慌 状态的效应的豁免检定中失败，你能够以反应令其重骰这次豁免，这次重骰具有优势。 </t>
  </si>
  <si>
    <t>灼净亡灵</t>
  </si>
  <si>
    <t>每当你使用驱散亡灵时，你都可以投掷等于你感知调整值枚d8（最少1d8)，而每个在对抗驱散亡灵的豁免中失败的亡灵都将受到等同于骰值之和的光耀伤害。此伤害不会终止驱散效应。</t>
  </si>
  <si>
    <t>变形时的规则</t>
  </si>
  <si>
    <t>当处于荒野变形下时，你保持你的人格、记忆和说话的能力，并遵循以下规则：
临时生命值Temporary Hit Points。当你变为荒野变形时，你获得等于你德鲁伊等级的临时生命值。
游戏数据Game Statistics。你的游戏数据被野兽的数据卡所替换，但你保留你的生物类型，生命值，生命骰，智力，感知和魅力值；职业特性；语言和专长。你同样保留你的技能和豁免熟练，并且在这些项目中使用你自己的熟练加值。如果变形的野兽在资料卡上的技能或豁免检定的调整值高于你的，使用资料卡的调整值。
不能施法No Spellcasting。你无法施展法术，但变形不会打断你的专注，也不会打断你已经施展了的法术。
物件Object。你持握物件的能力取决于形态下的肢体，而非你自己的。此外，你可以选择将你的装备丢在所处空间，或者将其融入新形态，又或者直接着装在身上。新形态直接着装的装备可以如常起作用，但DM有权基于新形态的体型和身姿作出判断，并最终决定新形态使用该装备是否合理。你的装备不会改变尺寸或形状来搭配新的形态，新形态无法着装某装备时，该装备会掉落到你所处空间或融入新形态中。融入新形态的装备失去其效应。</t>
  </si>
  <si>
    <t>传奇恩惠</t>
  </si>
  <si>
    <t>你获得一项传奇恩惠专长（见第五章）或其他一项你选择的适用的专长。推荐选择 英勇战斗之恩惠 。</t>
  </si>
  <si>
    <t>飞檐走壁</t>
  </si>
  <si>
    <t>当未着装任何护甲也没持用盾牌时，你可以在你的回合中在垂直表面和液体表面上移动而不会坠落。</t>
  </si>
  <si>
    <t>你获得属性值提升专长（见第五章）或其它你满足条件的专长。如圣武士特性表所示，你还会在第8，第12，第16级时再次获得本特性。</t>
  </si>
  <si>
    <t>越野</t>
  </si>
  <si>
    <t>只要你未着装重甲，你的速度提升10尺。你也获得等于你速度的攀爬速度和游泳速度。</t>
  </si>
  <si>
    <t>凶狡打击</t>
  </si>
  <si>
    <t>你习得了新的偷袭方法，使你的偷袭变得更为凶狠卑劣。下列效果现在加入你的诡诈打击选项。
恍惚Daze（花费：2d6）。目标必须成功通过一次体质豁免，否则该目标的下一回合只能选择下列行为中的一项：移动、执行一个动作或执行一个附赠动作。
击昏Knock Out（花费：6d6）。目标必须成功通过一次体质豁免，否则将陷入昏迷状态，持续一分钟或受到任何伤害。昏迷的目标每在自己的回合结束时都可以重新进行豁免，若通过，则状态结束。
眩目Obscure(花费：3d6)。你对目标的眼睛发动袭击。目标必须成功通过一次敏捷豁免，否则将陷入目盲状态，直到其下个回合结束。</t>
  </si>
  <si>
    <t>延效法术</t>
  </si>
  <si>
    <t>消耗：1术法点
当你施展一个持续时间为1分钟或更长的法术时，你可以消耗1术法点使其持续时间翻倍，最多变为24小时。
如果被你延效的法术需要专注，你在为维持此法术专注所做的豁免上具有优势。</t>
  </si>
  <si>
    <t>链主赋能</t>
  </si>
  <si>
    <t>先决：魔契师等级5+，具有链之魔契祈唤
当你施展寻获魔宠Find Familiar 时，你将一定程度的魔能力量灌注给被召唤的魔宠，给予这个生物以下增益： 
翔空/潜渊Aerial or Aquatic。 该魔宠获得40尺的飞行速度或游泳速度（由你选择）。
迅捷打击Quick Attack。 你可以使用一个附赠动作，指挥你的魔宠执行攻击动作。
光影注能Necrotic or Radiant Damage。 该魔宠造成钝击、穿刺或挥砍伤害时，你可以改为令其造成光耀或暗蚀伤害。
你的豁免DC Your Save DC。 若该魔宠强迫一个生物进行豁免检定，则它改为使用你的法术豁免DC。
抗性Resistance。若该魔宠受到伤害，则你可以使用反应给予它对于那次伤害的抗性。</t>
  </si>
  <si>
    <t>学者</t>
  </si>
  <si>
    <t>在学习法术之余，你还对一门学术领域有过专门的研究。从下列技能中选择一项你具有熟练的技能：奥秘、历史、自然或宗教。你获得所选技能的专精。</t>
  </si>
  <si>
    <t>强化凶蛮打击</t>
  </si>
  <si>
    <t>你训练出了更多种残暴的攻击方式。将以下效应加入到你的凶蛮打击选项中： 
震撼猛击Staggering Blow 。目标进行的下一次豁免检定具有劣势，并且目标直至你的下个回合开始都不能发动借机攻击。 
破势猛击Sundering Blow 。直至你的下个回合开始，下一次由其他生物对目标进行的攻击检定获得+5加值。一次攻击检定只能从一次破势猛击中获得加值。</t>
  </si>
  <si>
    <t>魔法奥秘</t>
  </si>
  <si>
    <t xml:space="preserve">你自各种魔法传说中习得了他们的奥秘。每当你到达一个吟游诗人特性表中准备法术数量有所增加的吟游诗人等级时（包括此等级），你可以从吟游诗人、牧师、德鲁伊和法师的法术列表中选择法术准备（这些职业的法术列表见其职业章节），这些法术对你而言都视作吟游诗人法术。此外，每当你替换本职业的准备法术时，你也可以从这些法术列表中选择替换。 </t>
  </si>
  <si>
    <t>受祝击</t>
  </si>
  <si>
    <t>神圣的力量在战斗中注入你。你从以下特性中选择其一获得（如果你因旧书中的牧师子职而再次获得了下列选项之一，则你也只能使用你在此特性中所选的那个选项）。
神圣打击Divine Strike。每个你的回合一次，当你以一次使用武器的攻击命中了一个生物时，你对其造成额外1d8光耀或黯蚀伤害（由你选择）。
强力施法Potent Spellcasting。你将你的感知调整值加到你用任何牧师戏法造成的伤害上。</t>
  </si>
  <si>
    <t>荒野伙伴</t>
  </si>
  <si>
    <t>你可以召唤出一个动物外形的自然精魂来帮助自己。以一个魔法动作，你可以消耗一个法术位或一次荒野变形次数来施展寻获魔宠Find Familiar法术，无需任何材料成分。
当你以这种方式施展这一法术时，获得的魔宠为妖精，并且它会在你完成一次长休时消失。</t>
  </si>
  <si>
    <t>额外攻击（三）</t>
  </si>
  <si>
    <t>你在自己回合内执行攻击动作时，可以发动四次攻击而非一次。</t>
  </si>
  <si>
    <t>出神入化</t>
  </si>
  <si>
    <t>你的疾风连击，坚强防御和疾步如风获得以下增益：
疾风连击Flurry of Blows。你消耗1点功力施展疾风连击时可以进行三次徒手打击而非两次。
坚强防御Patient Defense。当你消耗功力使用坚强防御时，你获得相当于你两个武艺骰的临时生命值。
疾步如风Step of the Wind。当你消耗功力使用疾步如风时，你可以选择你周围5尺内一个体型为大型或更小的自愿生物。直至你的回合结束，该生物将一直随你移动。该生物如此移动不会引发借机攻击。</t>
  </si>
  <si>
    <t>当你在你的回合中进行攻击动作时，你可以发动两次而非一次攻击。</t>
  </si>
  <si>
    <t>选择两项你熟练但不具备专精的技能，你获得这些技能的专精。</t>
  </si>
  <si>
    <t>圆滑心智</t>
  </si>
  <si>
    <t>你狡猾的头脑很难被人控制。你获得感知豁免与魅力豁免的熟练项。</t>
  </si>
  <si>
    <t>升阶法术</t>
  </si>
  <si>
    <t>消耗：2术法点
当你施展一道迫使生物进行豁免的法术时，你可以消耗2术法点来使法术影响的某一名生物对此法术的豁免具有劣势。</t>
  </si>
  <si>
    <t>原初之一的教习</t>
  </si>
  <si>
    <t>先决：魔契师等级2+
你从多元宇宙中的一位亘古存在那里收获了知识，令你习得一项由你选择的起源专长（见第5章）。
复选Repeatable。你可以多次选择本祈唤。每次这么做时，你都必须选择不同的起源专长。</t>
  </si>
  <si>
    <t>法师子职</t>
  </si>
  <si>
    <t>你选择获得一项法师子职。防护师，预言师， 塑能师 以及 幻术师。子职的内容见后文。子职是一种特化，在特定的法师等级给予你对应的独特能力。此后你将获得你所选的子职所有能力——只要其所需等级不超过你的法师等级。法师职业特性表列出了你从子职中获得新特性的法师等级。</t>
  </si>
  <si>
    <t>持久狂暴</t>
  </si>
  <si>
    <t>当你投掷先攻时，你可以重获所有已消耗的狂暴使用次数。你以此法重获狂暴使用次数后，直至你完成一次长休，你都不能再这么做。
此外，你的狂暴是如此凶悍，现在你的狂暴总是能持续10分钟，无需你做任何事来延长一轮狂暴。你陷入昏迷状态（而不再是陷入失能状态）或穿戴重甲时，你的狂暴提前结束。</t>
  </si>
  <si>
    <t>先发激励</t>
  </si>
  <si>
    <t>当你投掷先攻时，若你的诗人激励使用次数不足两次，你重获已消耗的诗人激励使用次数到两次为止。</t>
  </si>
  <si>
    <t>神圣干预</t>
  </si>
  <si>
    <t>你能呼唤你所信奉的神祇或神系来代你降下干预。以一个魔法动作，你选择一道五环或更低的牧师法术（施法时间不能为1反应），并将该法术作为执行此动作的一部分施展，无需消耗法术位也无需对应的施法材料。直到你完成一次长休前，你都无法再次使用此特性。</t>
  </si>
  <si>
    <t>德鲁伊子职</t>
  </si>
  <si>
    <t>你选择获得一项德鲁伊子职：大地结社、月亮结社、海洋结社或星辰结社。子职的内容见后文。子职是一种特化，在特定的德鲁伊等级给予你对应的独特能力。此后你将获得每一个你所选的子职的能力，只要其所需等级等于或低于你的德鲁伊等级。
德鲁伊们会形成松散的联系，他们称之为“结社”。</t>
  </si>
  <si>
    <t>卓越战技</t>
  </si>
  <si>
    <t>你的战斗技巧在战场上接受了磨砺，你习得战技并获得一种名为卓越骰的特殊骰。
战技Maneuvers。你从“战技项”中习得三种自选战技（详见后文）。许多战技能够以某种方式增幅你的攻击，而你在每次攻击时只能应用一次战技。
你在第7、第10和第15级时均习得两种自选的新战技。习得新战技时，你还可以额外替换一个已经习得的战技。
卓越骰Superiority Dice。你拥有四个d8卓越骰。卓越骰一经使用即消耗，完成短休或长休后恢复。
你的卓越骰在第7（共5枚）和第15级（共6枚）时各增加一枚。
豁免Saving Throws。若一个战技需要进行一次豁免检定，则该战技的豁免DC等于8+你的力量或敏捷调整值（由你选择）+你的熟练加值。</t>
  </si>
  <si>
    <t>返本还元</t>
  </si>
  <si>
    <t>凭借纯粹的意志，你能够在每次自己的回合结束时移除你身上的下列状态之一：魅惑，恐慌或中毒。
此外，不吃不喝不再会使你提升力竭等级。</t>
  </si>
  <si>
    <t>信实坐骑</t>
  </si>
  <si>
    <t>你能唤来异界坐骑的协助。你始终准备了法术寻获坐骑Find Steed。此外，你可以不消耗法术位地施展该法术一次，而后你必须完成一次长休才能再次这么做。</t>
  </si>
  <si>
    <t>不知疲倦</t>
  </si>
  <si>
    <t>原初的力量现在会帮你重整旗鼓，重新踏上旅途。你因它获得以下增益：
临时生命值Temporary Hit Points。以一个魔法动作，你能够给予自己 1d8+你的感知调整值（最低为1） 的临时生命值。你能够使用此特性的次数等于你的感知调整值次（最低一次），当你完成一次长休时，你重获全部已消耗的使用次数。
减少力竭Decrease Exhaustion。当你完成一次短休时，你的力竭等级减少1级（若有）。</t>
  </si>
  <si>
    <t>飘忽不定</t>
  </si>
  <si>
    <t>你飘忽不定的身形让敌人攻击时无从下手。只要你并未失能，以你为目标的攻击检定无法具有优势。</t>
  </si>
  <si>
    <t>瞬发法术</t>
  </si>
  <si>
    <t>消耗：2术法点
当你施展一个施法时间为动作的法术时，你可以消耗2术法点来将其施法时间改为附赠动作。如果你已经在同一回合内施展了一个一环或更高环的法术，你不能进行瞬发法术，并且你在使用瞬发法术后也不能在同一回合内施展一环或更高环的法术。</t>
  </si>
  <si>
    <t>饮命者</t>
  </si>
  <si>
    <t>先决：魔契师等级9+，具有刃之魔契祈唤
每回合一次，当你用契约武器命中一个生物时，你可以对其额外造成1d6的暗蚀、心灵或光耀伤害（由你选择），且你可以投掷并消耗一颗你的生命骰，恢复等于其骰值再加上你的体质调整值（最小为1）点生命值。</t>
  </si>
  <si>
    <t>你获得属性值提升专长（见第五章）或其他你满足条件的专长。如法师特性表所示，你还会在第8，第12，第16级时再次获得本特性。</t>
  </si>
  <si>
    <t>你凶蛮打击的额外伤害提升至2d10。此外，每当你使用凶蛮打击特性时，你可以同时使用两种不同的凶蛮打击效应。</t>
  </si>
  <si>
    <t>你获得一项传奇恩惠专长（见第五章）或其他一项你选择的适用的专长。推荐选择法术溯回之恩惠 。</t>
  </si>
  <si>
    <t>精通受祝击</t>
  </si>
  <si>
    <t>你所选择的受祝击变得更加强大。
神圣打击Divine Strike。神圣打击的额外伤害提升至2d8
强力施法Potent Spellcasting。当你施展一道牧师戏法并用它对一个生物造成伤害时，你可以为你自己或你60尺内的另一个生物注入活力，使其获得等同于你感知调整值两倍的临时生命值。</t>
  </si>
  <si>
    <t xml:space="preserve">你获得属性值提升专长（见第五章）或其它你满足条件的专长。如德鲁伊特性表所示，你还会在第8，第12，第16级时再次获得本特性。 </t>
  </si>
  <si>
    <t>突袭</t>
  </si>
  <si>
    <t>若你不处于失能状态，当你进行一次敏捷（隐匿）检定或先攻检定时，你能够消耗一枚卓越骰，并将消耗的卓越骰加入检定中。</t>
  </si>
  <si>
    <t>拨挡能量</t>
  </si>
  <si>
    <t>你现在可以使用你的拨挡攻击特性对抗造成任何伤害类型的攻击，而不仅限于钝击，穿刺或挥砍。</t>
  </si>
  <si>
    <t>守护灵光</t>
  </si>
  <si>
    <t>你散发出无形的保护性的灵光 ，覆盖以你为源点的10尺光环区域。只要你未陷入失能状态，此灵光就持续生效。
你与灵光内盟友的豁免结果获得相当于你魅力调整值的加值（最少为+1）。
如果同时存在有其他圣武士，一个生物同时也只能从一个守护灵光中获得增益。这个生物自己选择享受谁的灵光。</t>
  </si>
  <si>
    <t>永恒追猎</t>
  </si>
  <si>
    <t>受到伤害不会打断你对猎人印记Hunter’s Mark 的专注。</t>
  </si>
  <si>
    <t>你获得一项传奇恩惠专长（见第五章）或其他一项你选择的适用的专长。推荐选择暗夜精魂之恩惠 。</t>
  </si>
  <si>
    <t>追踪法术</t>
  </si>
  <si>
    <t>消耗：1术法点
当你为一道法术进行一次攻击检定并未命中时，你可以使用1术法点重投那个d20。你必须使用重投的结果。
即使你已经在一道法术上使用了其他超魔，你仍然可以使用追踪法术。</t>
  </si>
  <si>
    <t>千面之颜</t>
  </si>
  <si>
    <t>先决：魔契师等级2+
你可以施展易容术Disguise Self 且无需消耗法术位。</t>
  </si>
  <si>
    <t>记忆法术</t>
  </si>
  <si>
    <t xml:space="preserve">每当你完成一次短休时，你可以研究你的法术书并且将其中一道你以施法特性准备的一环及以上的法术替换为你法术书中的另一道一环及以上的法术。 </t>
  </si>
  <si>
    <t>不屈勇武</t>
  </si>
  <si>
    <t>如果你进行的力量检定或力量豁免检定的总值低于你的力量值，你可以使用你的力量值替代检定总值。</t>
  </si>
  <si>
    <t>创生圣言</t>
  </si>
  <si>
    <t>你掌握了创生圣言的其中两字：“生”与“死”。因此，你总是准备了法术律令医疗Power Word Heal和律令死亡Power Word Kill。当你施展这两道法术时，你可以选择第二个生物作为目标，那名生物必须位于第一个目标10尺内。</t>
  </si>
  <si>
    <t>你获得一项 传奇恩惠专长（见第五章）或其他一项你选择的适用的专长。推荐选择扭曲命运之恩惠 。</t>
  </si>
  <si>
    <t>荒野复苏</t>
  </si>
  <si>
    <t>每个你的回合内一次，如果你没有荒野变形使用次数，你可以消耗一个法术位（无需动作）让自己获得一次荒野变形次数。
此外，你可以消耗一次荒野变形使用次数（无需动作）来令自己获得一个一环法术位，然后直至完成长休你都无法再如此做。</t>
  </si>
  <si>
    <t>换位诈术</t>
  </si>
  <si>
    <t>你的回合中，若你处于某个生物5尺范围内，你可够消耗一枚卓越骰和至少5尺的移动力，来与那个生物互换位置。该生物需要自愿且不处于失能状态。这次移动不会引发借机攻击。
投掷那枚被消耗的卓越骰。直到你的下个回合开始前，你或被互换位置的另一生物（由你选择）的AC获得等于该卓越骰结果的加值。</t>
  </si>
  <si>
    <t>圆融自在</t>
  </si>
  <si>
    <t>你的身心修行已然有所成就，你获得所有豁免的熟练。
此外，当你豁免失败时，你可以消耗1点功力重掷豁免，但必须使用重掷的结果。</t>
  </si>
  <si>
    <t>弃绝众敌</t>
  </si>
  <si>
    <t>以一个魔法动作，你消耗一次引导神力使用次数让敌人被恐惧吞没。你高举圣徽或武器，选择位于你60尺内，数量至多等同于你魅力调整值（最少为1）的可见生物作为目标。每个目标必须成功通过一次感知豁免，否则陷入恐慌状态，持续1分钟或直到其受到任何伤害为止。因此陷入恐慌的生物每回合只能执行下列选项之一：移动、执行一个动作或执行一个附赠动作。</t>
  </si>
  <si>
    <t>自然面纱</t>
  </si>
  <si>
    <t>你祈唤自然精魂，魔法性地将身形遮蔽隐蔽。以一个附赠动作，你可以让自己进入 隐形状态，持续到你的下一回合结束。
你可以使用该特性的次数同等于你的感知调整值次（最少1次），完成一次长休时，你重获全部已消耗的使用次数。</t>
  </si>
  <si>
    <t>幸运一击</t>
  </si>
  <si>
    <t>你留了一手非凡技巧，让你可以随时把握自己的成功之际。当你在一次D20检定中失败时，你可以将结果改为20。
此特性一经使用，直至完成短休或长休你都无法再次使用。</t>
  </si>
  <si>
    <t>精妙法术</t>
  </si>
  <si>
    <t>万形之主</t>
  </si>
  <si>
    <t>先决：魔契师等级5+
你可以施展变身术Alter Self 且无需消耗法术位。</t>
  </si>
  <si>
    <t>法术精通</t>
  </si>
  <si>
    <t xml:space="preserve">你对特定的法术精熟于心，以至于你可以将其随意施展。选择你法术书中的一道施法时间为动作的一环法术和一个二环法术，你总是准备这些法术，且能不消耗法术位地以最低环施展它们。如果你想升环施展这些法术，则你必须像平时一样消耗一个法术位。
每当你完成一次长休时，你可以研究你的法术书并将其中一道法术更换为另一个符合条件的同环阶法术。 </t>
  </si>
  <si>
    <t>你获得一项传奇恩惠专长（见第五章）或其他一项你选择的适用的专长。推荐选择无敌攻势之恩惠。</t>
  </si>
  <si>
    <t>炫目舞步</t>
  </si>
  <si>
    <t>未着装护甲且未持用盾牌期间，你获得以下增益：
大舞蹈家Dance Virtuoso。你进行的任何有关舞蹈的魅力（表演）检定均具有优势。
无甲防御Unarmored Defense。你的基础护甲等级等于10＋你的敏捷调整值＋你的魅力调整值。
灵巧打击Agile Strikes。当你在一次动作、附赠动作或反应中消耗了诗人激励使用次数时，作为该动作、附赠动作或反应的一部分，你可以发动一次徒手打击。
诗人痛击Bardic Damage。你可以用敏捷代替力量进行徒手打击的攻击检定。当你以一次徒手打击造成伤害时，你可以造成等于诗人激励骰+敏捷调整值的钝击伤害，而非徒手打击原本的伤害。此效果并不会消耗你的诗人激励使用次数。</t>
  </si>
  <si>
    <t>进阶神圣干预</t>
  </si>
  <si>
    <t>你能够呼唤更加强大的神圣干预。当你使用神圣干预时，你可以在选择法术时选择祈愿术wish 。如果你这样做，你只有在完成2d4次长休后才能再次使用神圣干预。</t>
  </si>
  <si>
    <t>元素之怒</t>
  </si>
  <si>
    <t>元素之力在你的身体里流淌。你获得以下一个你选择的特性：
强力施法Potent Spellcasting。你将你的感知调整值加在你的以德鲁伊戏法造成的伤害上。
原力蛮击Primal Strike。每个你的回合内一次，当你以一次武器攻击或荒野变形中野兽形态的攻击命中一名生物时，你可以对目标额外造成1d8寒冷、火焰、闪电或雷鸣伤害（由你命中时选择）。</t>
  </si>
  <si>
    <t>指挥官奇袭</t>
  </si>
  <si>
    <t>你在自己回合内执行攻击动作时，你可以替换掉一次你的攻击变为指挥一名伙伴发动奇袭。使用此战技时，你消耗一枚卓越骰，并指定一名能看见你或能听到你声音的伙伴。所选生物可以立即使用其反应发动一次武器攻击或徒手打击，若命中，将消耗的卓越骰加在此次攻击的伤害掷骰中。</t>
  </si>
  <si>
    <t>明镜止水</t>
  </si>
  <si>
    <t>若你在投掷先攻，且选择不使用运转周天时，你的功力为3点或更少，则你的功力恢复至4点。</t>
  </si>
  <si>
    <t>勇气灵光</t>
  </si>
  <si>
    <t>你与守护灵光内盟友获得对恐慌状态的免疫。陷入恐慌的盟友进入灵光时，该状态在灵光内会暂时无效。</t>
  </si>
  <si>
    <t>致命猎杀</t>
  </si>
  <si>
    <t>你在对你的猎人印记Hunter’s Mark 当前指定的目标的攻击检定中具有优势。</t>
  </si>
  <si>
    <t>你学会了如何施展法术。施法规则见第七章。下文将详述如何将这些规则应用于诡术师。</t>
  </si>
  <si>
    <t>转化法术</t>
  </si>
  <si>
    <t>消耗：1术法点
当你施展一道造成以下伤害类型的法术时，你可以消耗1术法点将其伤害类型变成以下伤害类型中的另一种：强酸，寒冷，火焰，闪电，毒素，雷鸣。</t>
  </si>
  <si>
    <t>幻象迷踪</t>
  </si>
  <si>
    <t>先决：魔契师等级2+
你可以施展无声幻影Silent Image 且无需消耗法术位。</t>
  </si>
  <si>
    <t>你获得一项传奇恩惠专长（见第五章）或其他一项你选择的适用的专长。推荐选择法术召返之恩惠Boon of Spell Recall 。</t>
  </si>
  <si>
    <t>原初斗士</t>
  </si>
  <si>
    <t>你本身便是原初之力的象征。你的力量和体质各提升4，你这两项属性的上限变为25。</t>
  </si>
  <si>
    <t>鼓舞之移</t>
  </si>
  <si>
    <t>当一名你可见的敌人位于你5尺内结束它的回合时，你能够以反应消耗一次诗人激励使用次数，移动至多等于你速度一半的距离。此时，位于你30尺内的一名盟友（由你选择）也可以使用他的反应来移动至多等于他速度一半的距离。
此特性进行的移动不会引发借机攻击 。</t>
  </si>
  <si>
    <t>生命门徒</t>
  </si>
  <si>
    <t>你消耗法术位施展法术的回合中，当该法术恢复生物的生命值时，额外恢复2+消耗法术位环阶生命值。</t>
  </si>
  <si>
    <t>元素神威</t>
  </si>
  <si>
    <t>你选择的元素之怒特性变得愈发强大：
强力施法Potent Spellcasting。当你施展一个施法距离为10尺及以上的德鲁伊戏法时，法术施法距离提升300尺。
原力蛮击Primal Strike。 原力蛮击的额外伤害提升至2d8。</t>
  </si>
  <si>
    <t>领导风范</t>
  </si>
  <si>
    <t>当你进行一次魅力（威吓、表演或游说）检定时，你能够消耗一枚卓越骰，将消耗的卓越骰加入此次属性检定中。</t>
  </si>
  <si>
    <t>无懈可击</t>
  </si>
  <si>
    <t>在你的回合开始时，你可以消耗3点功力提高自己抵挡伤害的能力，持续1分钟或直至你陷入失能状态。
持续时间内，你对力场伤害之外的所有伤害都具有抗性。</t>
  </si>
  <si>
    <t>光耀打击</t>
  </si>
  <si>
    <t>神圣之力充盈你身，连带你的武器也承载着超自然力量。当你使用近战武器或徒手打击进行攻击检定并命中目标时，目标额外受到1d8点光耀伤害。</t>
  </si>
  <si>
    <t>野性感官</t>
  </si>
  <si>
    <t>你与自然的链接给予了你30尺盲视 。</t>
  </si>
  <si>
    <t>你习得三道法师戏法。法师之手Mage Hand 以及法师法术列表中你选择的两道戏法（法师法术列表见法师职业部分）。推荐选择心灵之楔Mind Sliver和次级幻象Minor Illusion 。
每当你获得一个游荡者等级时，你都能从你的非法师之手Mage Hand的戏法中选择其一替换为另一道你所选择的法师戏法。</t>
  </si>
  <si>
    <t>孪生法术</t>
  </si>
  <si>
    <t>消耗：1术法点
当你施展一个可以通过升环施法来提升法术目标数的法术，如魅惑类人Charm Person时，你可以消耗1术法点来将该法术的有效环级提升一环。</t>
  </si>
  <si>
    <t>融身入影</t>
  </si>
  <si>
    <t>先决：魔契师等级5+
身处微光或黑暗环境时，你可以对自身施展隐身术Invisibility 且无需消耗法术位。</t>
  </si>
  <si>
    <t>招牌法术</t>
  </si>
  <si>
    <t xml:space="preserve">从你的法术书中选择两道三环法术作为你的招牌法术。你总是准备这些法术，且能不消耗法术位地以三环施展每道法术各一次。此特性一经使用，直到完成一次短休或长休都不能再次以此法施展这两道法术。如果你想升环施展这些法术，则你必须像平时一样消耗一个法术位。 </t>
  </si>
  <si>
    <t>狂怒</t>
  </si>
  <si>
    <t xml:space="preserve">狂暴激活期间，在你使用鲁莽攻击的回合中，你基于力量的攻击首次命中时，对目标造成额外伤害。投掷等于你狂暴伤害加值数量的d6，将它们相加，即是你造成的额外伤害。额外伤害类型与此次攻击所使用的武器或徒手打击造成的伤害类型相同。 </t>
  </si>
  <si>
    <t>协同舞步</t>
  </si>
  <si>
    <t>当你投掷先攻时，若你未陷入失能状态，你可以消耗一次诗人激励使用次数，投掷诗人激励骰，令你与位于你30尺内的每个能听见或看见你的盟友进行的先攻检定获得等于该骰值的加值。</t>
  </si>
  <si>
    <t>生命领域法术</t>
  </si>
  <si>
    <t>兽形施法</t>
  </si>
  <si>
    <t>你可以在任何荒野变形下施法。当一个法术需要标有价值的材料成分或需要消耗材料成分时，你无法在荒野变形下施展。</t>
  </si>
  <si>
    <t>缴械攻击</t>
  </si>
  <si>
    <t>你以攻击检定命中一个生物时，可消耗一枚卓越骰以尝试缴械目标。将消耗的卓越骰加在此次攻击的伤害掷骰中。目标必须通过一次力量豁免，豁免失败则其丢弃手中持握的一件物品（由你选择）。被丢弃的物品将掉落在该生物处于的空间中。</t>
  </si>
  <si>
    <t>你获得一项传奇恩惠专长（见第五章）或其他一项你选择的适用的专长。推荐选择 无敌攻势之恩惠 。</t>
  </si>
  <si>
    <t>复原之触</t>
  </si>
  <si>
    <t>当你对一个生物使用圣疗时，你可以终止该生物身上以下一种或更多种类的效应：目盲、魅惑、耳聋、恐慌、麻痹或震慑。你每终止一个效应，都需要花费圣疗的5点治疗能量；这些治疗能量不会恢复该生物的生命值。</t>
  </si>
  <si>
    <t>你获得一项传奇恩惠专长（见第五章）或其他一项你选择的适用的专长。推荐选择 次元旅行之恩惠 。</t>
  </si>
  <si>
    <t>诡术师施法表显示了你可用于施展一环及以上法术的法术位数量。当你完成长休时，你重获所有已消耗的法术位。</t>
  </si>
  <si>
    <t>术士子职</t>
  </si>
  <si>
    <t>你选择获得一项术士子职。畸变术法、时械术法、龙族术法和狂野术法。子职的内容见后文。子职是一种特化，在特定的术士等级给予你对应的独特能力。此后你将获得你所选的子职所有能力——只要其所需等级不超过你的术士等级。术士特性表列出了你从子职中获得新特性的术士等级。</t>
  </si>
  <si>
    <t>超凡跳跃</t>
  </si>
  <si>
    <t>先决：魔契师等级2+
你能够以自身为目标施展跳跃术Jump 且无需消耗法术位。</t>
  </si>
  <si>
    <t>防护学者</t>
  </si>
  <si>
    <t>从法师法术列表中选择两道不高于二环的防护学派法术，并将其免费加入你的法术书中。
此外，每当你在本职业中获得一个新环阶的法术位时，你都能免费将一道法师法术列表中的防护学派法术加入你的法术书中。你所选的法术都必须是你当前拥有法术位的环阶。</t>
  </si>
  <si>
    <t>无我狂暴</t>
  </si>
  <si>
    <t>狂暴激活期间，你具有魅惑与恐慌状态的免疫。当你进入狂暴时，若你已陷入魅惑或恐慌，你陷入的这些状态立即结束。</t>
  </si>
  <si>
    <t>引导闪避</t>
  </si>
  <si>
    <t>当你受到一个允许你进行敏捷豁免来只承受一半伤害的效应影响时，你在豁免成功时不受伤害，豁免失败时只承受一半伤害。若位于你5尺内的其他生物同样需要进行这次敏捷豁免，你可以令他们也享受到此特性的增益。
若你陷入失能状态，你无法使用此特性。</t>
  </si>
  <si>
    <t>维持生命</t>
  </si>
  <si>
    <t>以一个魔法动作，你展示圣徽并消耗一次引导神力来引导治疗能量恢复等于你牧师等级五倍的生命值。你选择身边30尺内处于浴血状态的生物作为此特性的目标（可以包括你），再为其分配从中获得的治疗能量。该特性至多将目标的生命值恢复至其上限的一半。</t>
  </si>
  <si>
    <t>你获得一项传奇恩惠专长（见第五章）或其他一项你选择的适用的专长。推荐选择次元旅行之恩惠 。</t>
  </si>
  <si>
    <t>扰乱打击</t>
  </si>
  <si>
    <t>你以攻击检定命中一个生物时，可以消耗一枚卓越骰以扰乱该目标，让你的盟友有机可乘。将消耗的卓越骰加在此次攻击的伤害掷骰中。此后直到你下个回合开始前，下一次由除你之外的生物对目标进行的攻击检定具有优势。</t>
  </si>
  <si>
    <t>天人合一</t>
  </si>
  <si>
    <t>你行满功成，身心性命皆已突破超然境界。你的敏捷和感知各提升4。现在你这些属性的上限为25。</t>
  </si>
  <si>
    <t>灵光增效</t>
  </si>
  <si>
    <t>你的守护灵光的光环 现在延展到30尺。</t>
  </si>
  <si>
    <t>屠灭众敌</t>
  </si>
  <si>
    <t>你的猎人印记Hunter’s Mark 的额外伤害骰从d6变为d10。</t>
  </si>
  <si>
    <t>你准备可供你以此特性施展的一环及更高环阶的法术列表。最初，选择三道法师法术。推荐选择魅惑类人Charm Person、易容术Disguise Self和云雾术Fog Cloud。
已准备法术数量会随你游荡者等级的提升而增加，如诡术师施法表中的准备法术一列所示。每当这一列的数字增加时，从法师法术列表中选择额外法术准备，直至已准备法术的数量与表格中的数字一致。你所选择法术的环阶必须是你所拥有法术位对应的环阶。例如，如果你是一名7级游荡者，则你的准备法术列表能包括五道一环或二环的游荡者法术，随意组合。</t>
  </si>
  <si>
    <t xml:space="preserve">你获得属性值提升专长（见第5章）或其它你满足条件的专长。如牧师特性表所示。你在第8，第12，第16级时会再次获得本特性。 </t>
  </si>
  <si>
    <t>刃之魔契</t>
  </si>
  <si>
    <t>以一个附赠动作，你在手中咒唤出一把契约武器——一把与你连结了的简易或军用近战武器——或者与一个你所触摸的魔法武器建立连结。你不能与一把已经被其它生物同调或是和另一魔契师建立连结的魔法武器建立连结。直到连结结束，你拥有其熟练项，且你可以将其用作施法的法器。
当你用你连结的武器发动攻击时，你能使用魅力调整值进行攻击检定和伤害掷骰，取代使用力量或敏捷，且你可以令该武器造成暗蚀、心灵或光耀伤害，来取代原先的伤害类型。
你与武器的连结会在你再次使用此特性的附赠动作时，武器在你5尺外1分钟或更久或是你死亡时结束。一个被咒唤出的武器会在连结结束时消失。</t>
  </si>
  <si>
    <t>奥术守御</t>
  </si>
  <si>
    <t>你可以在自己周围编织魔法来保护自己。当你消耗法术位施展一道防护学派法术时，你能同时使用该法术的一缕魔力为自己创建一个魔法结界，该结界会持续至你完成一次长休。该结界的生命值上限等同于你法师等级的两倍加上你的智力调整值。每当你受到伤害时，结界就会代替你承受伤害，如果你有任何抗性或易伤，则应在计算结界承伤之前先结算抗性和易伤。如果该伤害会使结界的生命值降为0，则你将承受所有剩余伤害。当结界的生命值为0时，它无法吸收伤害，但其魔力仍然存在。
每当你消耗法术位施展一道防护学派法术时，结界就会恢复等同于该法术位环阶两倍的生命值。此外，你也能够以一个附赠动作，消耗一个法术位使结界恢复等同于所消耗法术位环阶两倍的生命值。结界一经创建，直至你完成一次长休都无法再次被创建。</t>
  </si>
  <si>
    <t>报偿</t>
  </si>
  <si>
    <t>当一名位于你5尺内的生物对你造成伤害时，你能够以反应使用武器或徒手打击对其发动一次近战攻击。</t>
  </si>
  <si>
    <t>惑心魔法</t>
  </si>
  <si>
    <t xml:space="preserve">你始终准备了法术魅惑类人Charm Person和镜影术Mirror Image。
此外，在你使用法术位施展一道惑控或幻术学派的法术后，你可以立即使一名位于你60尺内的你可见的生物进行一次感知豁免检定，对抗你的施法DC。豁免失败则目标陷入魅惑或恐慌状态（由你选择），持续1分钟。目标在其每个回合结束时，可以重新进行该豁免，成功则其身上的效应提前结束。
该增益一经使用，直至完成长休你都无法再次使用。你也可以消耗一次诗人激励使用次数（无需动作）重置该增益的使用权。 </t>
  </si>
  <si>
    <t>神祝医者</t>
  </si>
  <si>
    <t>你为其他人施展的治疗性法术也能治疗你自己。当你用法术位施展一道为除了你自己以外的一个或更多生物恢复生命值的法术后，你立刻恢复2+法术环阶的生命值。</t>
  </si>
  <si>
    <t>大德鲁伊</t>
  </si>
  <si>
    <t>自然的活力在你的身上永不凋零，令你获得以下增益：
不凋化形Evergreen Wild Shape。当你投掷先攻时，若你没有荒野变形的使用次数，你获得一次荒野变形使用次数。
自然术使Nature Magician。你可以将荒野变形使用次数转化为法术位（无需任何动作）。选择一定数量的你未使用的荒野变形使用次数，将它们转化为一个法术位，每个使用次数可以转为2个法术环阶。比如说，如果你转化两个荒野变形使用次数，你就可以创造出一个四环法术位。此增益一经使用，直至完成长休你都无法再次使用。
青春永驻Longevity。你行使的原力魔法让你的衰老速度减缓。每经过10年的岁月，你的身体就仿佛只过了1年。</t>
  </si>
  <si>
    <t>灵巧步法</t>
  </si>
  <si>
    <t>以一个附赠动作，你可以消耗一枚卓越骰并执行撤离动作，并将卓越骰结果加入你的AC中，直到你下回合开始为止。</t>
  </si>
  <si>
    <t>夺命之手</t>
  </si>
  <si>
    <t xml:space="preserve">每回合一次，当你用徒手打击命中一个生物并造成伤害时，你可以消耗1点功力来额外造成等于一枚你的武艺骰+你的感知调整值的暗蚀伤害。 </t>
  </si>
  <si>
    <t>你获得一项传奇恩惠专长（见第五章）或其他一项你选择的适用的专长。推荐选择真实视觉之恩惠 。</t>
  </si>
  <si>
    <t>原初行侣</t>
  </si>
  <si>
    <t>你魔法性的召唤出一只原初野兽，其力量来自于与你与自然的联系。你从大地野兽、海洋野兽和天空野兽中选择其一项作为它的数据卡。你决定原初野兽是何种动物，选择适合其数据卡的外形。无论你选择什么样的动物，这只野兽都带有原初之力的印痕，暗示着其超凡起源。
这只野兽对你和你的伙伴态度友善，并会听从你的命令。野兽会在你死亡时消失。
战斗中的野兽The Beast in Combat。战斗中，原初野兽会在你的回合中行动。它能自主地移动或使用反应，但除非你在你的回合中以一个附赠动作命令它执行其他动作，它只会执行回避动作。命令的动作可以是其数据卡中列出的动作或是之外的其他动作。作为另一种命令方式，你也能在使用自己的攻击动作时，牺牲一次自己的攻击来命令野兽执行野兽打击动作。如果你陷入失能，野兽将会自主行动，而非仅使用回避动作。
复活或替换野兽Restoring or Replacing the Beast。如果野兽死亡不超过一小时，你能以一个魔法动作，并消耗一个法术位使它复活。它会在一分钟后死而复生并获得所有生命值。
当你结束一次长休后，你能够召唤一只不同的原初野兽。这只新的野兽出现在位于你5尺内的一处未被占据的空间内，并由你选择其数据卡和外表。如果你已经通过此特性获得了一只原初野兽，它会在新的原初野兽出现时消失。</t>
  </si>
  <si>
    <t>每当你获得一个游荡者等级时，你就可以将你准备列表上的一道法术替换为另一道法师法术，你必须拥有替换后法术对应环阶的法术位才可以替换。</t>
  </si>
  <si>
    <t>术法复苏</t>
  </si>
  <si>
    <t>当你完成一次短休时，你可以恢复不大于你术士等级一半（向下取整）的已消耗术法点。
此特性一经使用，直到你完成一次长休为止不能再次使用。</t>
  </si>
  <si>
    <t>链之魔契</t>
  </si>
  <si>
    <t>你习得法术寻获魔宠Find Familiar且能以一个魔法动作施展它，且无需消耗法术位。
每当你施展该法术，并为你的魔宠选择形态时，除了通常的形态选项，你还可以改为选择下列特殊形态之一：小魔鬼Imp、伪龙Pseudodragon、夸赛魔Quasit、骷髅Skeleton、史拉蟾蝌蚪Slaad Tadpole，斯芬克斯好奇宝宝Sphinx of Wonder、小妖精Sprite或毒蛇Venomous Snake （魔宠的数据见附录B）。
此外，当你执行攻击动作时可以放弃所有攻击中的一次攻击，转而让你的魔宠使用其反应发动一次攻击。</t>
  </si>
  <si>
    <t>投射守御</t>
  </si>
  <si>
    <t>当30尺内一个你可见的生物受到伤害时，你可以用你的反应让你的奥术守御吸收此次伤害。如果该伤害使结界的生命值降为0，则被保护的生物将承受所有剩余伤害。如果被保护的生物有任何抗性或易伤，则应在计算结界承伤之前先结算抗性和易伤。</t>
  </si>
  <si>
    <t>威慑之姿</t>
  </si>
  <si>
    <t>以一个附赠动作，你可以用你那令人魂消胆丧的面相，在原初之力的辅助下将恐惧打入他者内心。当你如此做时，每个位于以你为源点的30尺光环区域内你所选择的生物必须进行一次感知豁免检定（DC等于8＋你的力量调整值＋你的熟练加值）。豁免失败则陷入恐慌状态，持续1分钟。陷入恐慌的生物在其每个回合结束时，重新进行该豁免，成功则其身上的该效应提前结束。
此特性一经使用，直至完成长休你都无法再次使用。你也可以消耗一次狂暴使用次数（无需动作）来重置该特性的使用权。</t>
  </si>
  <si>
    <t>灵感织衣</t>
  </si>
  <si>
    <t xml:space="preserve">你可以将妖精魔法织入歌曲亦或是舞蹈，为他人献上满满的活力。以一个附赠动作，你可以消耗一次诗人激励使用次数，并掷诗人激励骰，从位于你60尺内的其他生物中选择任意生物，数量至多等于你魅力调整值（至少选择一名），每个被选中的生物获得等于两倍该诗人骰骰值的临时生命值，然后每名生物均可以使用自己的反应立即移动至多等于自己速度的距离，这次移动不会引发借机攻击。 </t>
  </si>
  <si>
    <t>极效治疗</t>
  </si>
  <si>
    <t>当你需要用一道法术或引导神力掷一枚或多枚骰子，以决定为一个生物恢复的生命数值时，你无需掷骰，直接为每个骰子取最高值。例如，一道法术为某一生物恢复2d6生命值，则其结果直接取12。</t>
  </si>
  <si>
    <t>大地结社法术</t>
  </si>
  <si>
    <t xml:space="preserve">当你完成一次长休时，选择一种地形：荒漠、极地，温带或热带。当你到达下列表中特定的德鲁伊等级时，你就始终准备了表中对应的法术。
荒漠 Arid Land 
德鲁伊等级 结社法术 
3 火焰箭Fire Bolt 燃烧之手Burning Hands, 朦胧术Blur 
5 火球术Fireball 
7 枯萎术Blight 
9 石墙术Wall of Stone 
极地 Polar Land 
德鲁伊等级 结社法术 
3 冷冻射线Ray of Frost 云雾术Fog Cloud 定身类人Hold Person 
5 雪雨暴Sleet Storm 
7 冰风暴Ice Storm 
9 寒冰锥Cone of Cold 
温带 Temperate Land 
德鲁伊等级 结社法术 
3 电爪Shocking Grasp 睡眠术Sleep 迷踪步Misty Step 
5 闪电束Lighting Bolt 
7 行动自如Freedom of Movement 
9 树跃术Tree Stride 
热带 Tropical Land 
德鲁伊等级 结社法术 
3 酸液飞溅Acid Splash, 蛛网术Web 致病射线Ray of Sickness 
5 臭云术Stinking Cloud 
7 变形术Polymorph 
9 疫病虫群Insect Plague </t>
  </si>
  <si>
    <t>诡诈攻击</t>
  </si>
  <si>
    <t>以一个附赠动作，你可以消耗一枚卓越骰并指定一个位于你5尺范围内的生物为目标，对其虚晃一招。你在本回合内对该生物发动的下一次攻击检定具有优势。如果该攻击命中，则将消耗的卓越骰加在此次攻击的伤害掷骰中。</t>
  </si>
  <si>
    <t>予命之手</t>
  </si>
  <si>
    <t>以一个魔法动作，你能消耗1点功力来接触一个生物，恢复目标等于一枚你的武艺骰+你的感知调整值的生命值。
当你使用疾风连击时，你能将其中一次徒手打击改为使用此特性治疗一个生物，且不需要为治疗额外消耗功力。</t>
  </si>
  <si>
    <t>奉献之誓法术</t>
  </si>
  <si>
    <t xml:space="preserve">你誓言具有的魔法使你始终准备了特定的法术。当你到达奉献之誓法术表中特定的圣武士等级时，你就始终准备了表中对应的法术。
奉献之誓法术Oath of Devotion Spells 
圣武士等级 准备法术
3 防护善恶Protection from Evil and Good，虔诚护盾Shield of Faith
5 援助术Aid，诚实之域Zone of Truth 
9 希望信标Beacon of Hope，解除魔法Dispel Magic 
13 行动自如Freedom of Movement，信实守卫Guardian of Faith 
17 通神术Commune，焰击术Flame Strike </t>
  </si>
  <si>
    <t>特效训练</t>
  </si>
  <si>
    <t>若你用你的附赠动作命令你的原初行侣执行动作时，你还可以让它以它自己的附赠动作执行疾走、撤离、回避或协助动作。
此外，每当你的野兽以攻击击中目标并造成伤害时，你都可以选择是让它造成的伤害变为力场伤害，或是保持原本伤害类型。</t>
  </si>
  <si>
    <t>术法化身</t>
  </si>
  <si>
    <t>如果你的 先天术法特性的使用次数耗尽，则你仍可以消耗2点术法点来用附赠动作继续激活该特性。
此外，在你的先天术法特性处于激活状态期间，你可以在你施展的每道法术上应用最多两次超魔法选项。</t>
  </si>
  <si>
    <t>书之魔契</t>
  </si>
  <si>
    <t>在一次短休或长休结束时，你将幽影聚在手中，编织为一本书册。这本书（由你决定外观）中承载着只有你能理解的骇人魔法，令你获得以下增益。书册会在你以此特性咒唤另一本书或死亡时消失。
戏法和仪式Cantrips and Rituals。当书册出现时，选择三道戏法和两道带有仪式标签的一环法术。这些法术可以来自任何职业的法术列表，且不能是你已经准备了的法术。当这本书册在你的角色身上时，你总是准备了这些法术，且对你而言这些法术是魔契师法术。
施法法器Spallcasting Forcus。你可以将此书册作为施法法器。</t>
  </si>
  <si>
    <t>破法者</t>
  </si>
  <si>
    <t>你始终准备了法术法术反制Counterspell和解除魔法Dispel Magic。此外，你能够以一个附赠动作施展解除魔法Dispel Magic ，且你能在其属性检定中加入你的熟练加值。你消耗法术位施展其中任意一道法术时，若该法术未能成功阻止法术施展或未能成功解除法术效应，则你用于施展法术反制或解除魔法的法术位不会被消耗。</t>
  </si>
  <si>
    <t>动物语者</t>
  </si>
  <si>
    <t>你可以施展法术野兽知觉Beast Sense与动物交谈Speak With Animals，仅限仪式施展。感知是你这些法术的施法属性。</t>
  </si>
  <si>
    <t>威仪作锦</t>
  </si>
  <si>
    <t xml:space="preserve">你始终准备了法术命令术Command。
以一个附赠动作，你无需法术位地施展命令术，然后你将获得超凡脱俗的容貌，持续1分钟或在你专注终止时提前结束。在此期间，你能够以一个附赠动作，无需法术位地施展法术命令术。
任何因你而陷入魅惑状态的生物在进行对抗你以此特性施展的命令术时，其豁免检定自动失败。 
此特性一经使用，直至完成长休 你都无法再次使用。你也可以消耗一个三环以上的法术位（无需动作）来重置该特性的使用权。 </t>
  </si>
  <si>
    <t>光明领域法术</t>
  </si>
  <si>
    <t xml:space="preserve">你与此神圣领域的链接使你始终准备了特定的法术。当你到达光明领域法术表中特定的牧师等级时，你就始终准备了表中对应的法术。
光明领域法术 Light Domain Spells
牧师等级 准备法术 
3 燃烧之手Burning Hands，妖火Faerie Fire， 灼热射线Scorching Ray，识破隐形See Invisibility 
5 昼明术Daylight，火球术Fireball 
7 秘法眼Arcane，火墙术Wall of Fire 
9 焰击术Flame Strike、探知Scrying </t>
  </si>
  <si>
    <t>大地之援</t>
  </si>
  <si>
    <t>以一个魔法动作，你可以消耗一次荒野变形使用次数并且选择距你60尺内的一点。给予活力的繁花和吸取生命的荆刺在以那一点为源点的10尺半径球状区域同时生出。在该区域内每个你所选择的生物必须进行一次对抗你法术豁免DC的体质豁免，豁免失败时生物受到2d6黯蚀伤害，豁免成功时受到半数伤害。此外，区域内你所选择的一名生物恢复2d6生命值。
当你到达特定的德鲁伊等级时，伤害和治疗量会提升1d6：10级（3d6）和14级（4d6）。</t>
  </si>
  <si>
    <t>挑衅攻击</t>
  </si>
  <si>
    <t>你以攻击检定命中一个生物时，可以消耗一枚卓越骰以尝试挑衅该目标攻击你。所消耗的卓越骰还会被加到此次攻击的伤害掷骰中。目标必须通过一次感知豁免，豁免失败者对除你之外的生物进行的攻击检定具有劣势，直到你的下个回合结束。</t>
  </si>
  <si>
    <t>操命本事</t>
  </si>
  <si>
    <t>你获得洞悉和医药的熟练，并且熟练于草药工具</t>
  </si>
  <si>
    <t>圣洁武器</t>
  </si>
  <si>
    <t>当你执行攻击动作时，你可以消耗一次你的引导神力次数，为你持握的一把近战武器注入正能量。随后10分钟或你再次使用此特性为止，你使用该武器进行的攻击检定可以加上你的魅力调整值（至少为 +1），且每次命中时可以选择是造成正常伤害或者是光耀伤害。
该武器同时提供半径20尺的明亮光照以及额外20尺微光光照。
你可以提前终止此效应（无需动作）。当你不再携带这把武器，此效应同样终止。</t>
  </si>
  <si>
    <t>兽性狂怒</t>
  </si>
  <si>
    <t>当你命令原初行侣执行野兽打击动作时，它能发动该动作两次。
此外，每个回合中，当它首次击中一个受到你的法术影响的生物时，它可以额外造成一定的力场伤害，其数值等同于那个法术的额外伤害。</t>
  </si>
  <si>
    <t>你可以使用奥术法器作为你法师法术的施法法器</t>
  </si>
  <si>
    <t>你获得一项 传奇恩惠专长（见第五章）或其他一项你选择的适用的专长。推荐选择 次元旅行之恩惠 。</t>
  </si>
  <si>
    <t>斥力魔爆</t>
  </si>
  <si>
    <t>先决：魔契师等级2+，已知一道通过攻击检定造成伤害的魔契师戏法
选择一道你已知的需要一次攻击检定的魔契师戏法。当你用该戏法命中一名体型不超过大型的生物时，你可以将目标推开至多10尺。
复选Repeatable。 你可以多次选择本祈唤。每次这么做时，你都必须选择不同的满足先决的戏法。</t>
  </si>
  <si>
    <t>法术抗性</t>
  </si>
  <si>
    <t>你抵抗法术时进行的豁免检定具有优势 ，且你对法术造成的伤害具有抗性。</t>
  </si>
  <si>
    <t>兽性狂暴</t>
  </si>
  <si>
    <t xml:space="preserve">你的狂暴解放来自动物的原初之力。每当你激活狂暴时，你从下列选项中选择一项。
熊Bear。狂暴激活期间，你具有除力场、心灵、暗蚀、光耀外所有伤害类型的抗性。
鹰Eagle。当你激活狂暴时，作为你进入狂暴的附赠动作的一部分，你可以同时执行撤离与疾跑动作。狂暴激活期间，你也能够以一个附赠动作同时执行这两个动作。
狼Wolf。狂暴激活期间，你的盟友对位于你5尺内的敌人进行的攻击检定具有优势。 </t>
  </si>
  <si>
    <t>不破威仪</t>
  </si>
  <si>
    <t xml:space="preserve">以一个附赠动作，你可以魔法性地呈现出庄严的姿态，持续1分钟或在你陷入失能状态时结束。在此期间，任何生物在一个回合中的攻击检定首次命中你时，攻击者必须通过一次对抗你施法DC的魅力豁免检定，否则这次攻击将因畏惧你的威仪而变得畏缩并失手。
一旦你呈现出这庄严的姿态，直至完成短休或长休你都无法再如此做。 </t>
  </si>
  <si>
    <t>黎明曙光</t>
  </si>
  <si>
    <t>以一个魔法动作，你展现圣徽，消耗一次引导神力次数来释放出一阵闪光，覆盖一处以你为源点的30尺光环区域。该区域内的任何魔法黑暗——例如法术黑暗术制造的黑暗——都将被解除。此外，区域内你选择的所有生物都必须进行一次体质豁免。豁免失败者将受2d10＋你牧师等级的光耀伤害，豁免成功则伤害减半。</t>
  </si>
  <si>
    <t>自然恢复</t>
  </si>
  <si>
    <t>你可以施展一个你以结社法术特性准备的一环及以上法术，而无须消耗法术位，并且你必须在完成一次长休后才能再次这么做。
此外，当你结束一次短休时，你可以选择恢复消耗的法术位。法术环阶的总和等于你德鲁伊职业等级的一半（向上取整），且不能是六环或更高环阶的法术位。比如说，作为一位6级德鲁伊，你可以恢复环阶总和最多为3的法术位。你可以恢复一个三环法术位，或者一个二环和一个一环法术位，或者三个一环法术位。一旦你以此特性恢复过法术位，直到完成一次长休为止，你无法再次这么做。</t>
  </si>
  <si>
    <t>突刺攻击</t>
  </si>
  <si>
    <t>以一个附赠动作，你可以消耗一枚卓越骰并执行疾走动作。若你在本回合中直线移动至少5尺后立即以攻击动作中的一次近战攻击命中，你可以将消耗的卓越骰加在此次攻击的伤害掷骰中。</t>
  </si>
  <si>
    <t>生死之触</t>
  </si>
  <si>
    <t>你的夺命之手和予命之手获得强化，具体内容见下文。
夺命之手Hand of Harm。当你对一个生物使用夺命之手时，你可以使该生物陷入中毒状态，直至你的下个回合结束。
予命之手Hand of Healing。当你使用予命之手时，你还可以结束一种疫病或影响该生物的下列状态之一：目盲、耳聋、麻痹、中毒或震慑。</t>
  </si>
  <si>
    <t>奉献灵光</t>
  </si>
  <si>
    <t>你与你守护灵光内的盟友获得魅惑免疫。陷入魅惑的盟友进入灵光时，该状态在灵光内会暂时无效。</t>
  </si>
  <si>
    <t>法术共享</t>
  </si>
  <si>
    <t>当你施展的法术指定了你自己作为目标，并且你的原初行侣正位于你30尺范围内时，你可以让该法术效应同时作用于你的原初行侣。</t>
  </si>
  <si>
    <t>法师之手诈术</t>
  </si>
  <si>
    <t>当你施展法师之手Mage Hand时，你可以通过附赠动作施展，并且你能够使幽灵手变得隐形。你可以通过附赠动作控制幽灵手，并且你可以通过它进行敏捷（巧手）检定。</t>
  </si>
  <si>
    <t>奥术登神</t>
  </si>
  <si>
    <t>在你的先天术法特性处于激活状态期间，每个你的回合一次，你可以无需消耗术法点地使用一次超魔法选项。</t>
  </si>
  <si>
    <t>饥渴魔刃</t>
  </si>
  <si>
    <t>先决：魔契师等级5+，具有刃之魔契祈唤
你获得额外攻击特性（仅可使用你的契约武器）。此特性令你在自己的回合内执行攻击动作时可以用该武器攻击两次而非一次。</t>
  </si>
  <si>
    <t>预言学者</t>
  </si>
  <si>
    <t>从法师法术列表中选择两道不高于二环的预言学派法术，并将其免费加入你的法术书中。
此外，每当你在本职业中获得一个新环阶的法术位时，你都能免费将一道法师法术列表中的预言学派法术加入你的法术书中。你所选的法术都必须是你当前拥有法术位的环阶。</t>
  </si>
  <si>
    <t>兽之形貌</t>
  </si>
  <si>
    <t>你从下列选项中自选一项能力获得。当你完成一次长休时，你可以改变你的选择。
猫头鹰Owl。你具有60尺黑暗视觉。如果你已经具有黑暗视觉，你的黑暗视觉范围增加60尺。 
黑豹Panther。你具有等于你速度的攀爬速度。 
鲑鱼Salmon。你具有等于你速度的游泳速度。</t>
  </si>
  <si>
    <t>附赠熟练</t>
  </si>
  <si>
    <t xml:space="preserve">你获得三项由你选择的技能的熟练。 </t>
  </si>
  <si>
    <t>守御之光</t>
  </si>
  <si>
    <t xml:space="preserve">当位于你30尺内一名你可见的生物进行攻击检定时，你能够以反应在该次攻击命中或失手前在该生物面前发出闪耀之光，迫使其该次攻击检定具有劣势。
你可以使用该特性的次数等于你的感知调整值（最少1次）。你在完成一次长休时重获所有已消耗的使用次数。 </t>
  </si>
  <si>
    <t>自然守御</t>
  </si>
  <si>
    <t>你免疫中毒状态，并且你具有和你目前在结社法术特性中选择的土地相关的伤害类型的抗性，如自然守御表格所示。
自然守御Nature's Ward
地形 抗性
荒漠 火焰
温带 闪电
极地 寒冷
热带 毒素</t>
  </si>
  <si>
    <t>灵动攻击</t>
  </si>
  <si>
    <t>你以攻击检定命中一个生物时，可以消耗一枚卓越骰以让战友移动到更有利的位置。将所消耗的卓越骰加在此次攻击的伤害掷骰中，并指定一个能看见你或听到你声音的自愿生物。该生物可以用其反应移动至多等于其速度一半的距离。本次移动不会引发本次所攻击目标的借机攻击。</t>
  </si>
  <si>
    <t>生杀予夺</t>
  </si>
  <si>
    <t>当你使用疾风连击时，每一次徒手打击都可以替换为使用你的予命之手，且都不需要为治疗额外消耗功力。
此外，当你在疾风连击中发动徒手打击并造成伤害时，你可以无需消耗功力就使用一次夺命之手。不过你仍然只能在每回合中使用一次夺命之手。
你能使用此增益的次数等于你的感知调整值（最少一次）。你在完成一次长休后回复所有消耗的次数。</t>
  </si>
  <si>
    <t>卫护斩</t>
  </si>
  <si>
    <t>你现在能让魔法斩击散发出保护性的能量。每当你施展至圣斩时，直到你的下个回合开始为止，你的灵光获得以下增益：身处你的守护灵光期间，你和你的盟友具有半身掩护。</t>
  </si>
  <si>
    <t>哀惧灵袭</t>
  </si>
  <si>
    <t>你能够使用来自妖精荒野中黑暗空洞的摄心魔法以强化你的武器攻击。当你用一把武器击中一个生物时，你可以对目标造成额外的1d4点心灵伤害。每个生物在每个回合只能够受到这一额外伤害一次。你的游侠等级达到11级时，这一额外伤害变为1d6。</t>
  </si>
  <si>
    <t>诡术伏击</t>
  </si>
  <si>
    <t>处于隐形状态期间，若你对一名生物施法，它在那个回合中为对抗该法术而进行的任何豁免检定都具有劣势。</t>
  </si>
  <si>
    <t>灵能法术</t>
  </si>
  <si>
    <t xml:space="preserve">当你到达灵能法术表中特定的术士等级时，你就始终准备了表中对应的法术。
灵能法术Psionic Spells 
术士等级 准备法术
3 心灵之楔Mind Sliver，哈达之臂Arms of Hadar，不谐低语Dissonant Whispers，安定心神Calm Emotions，侦测思想Detect Thoughts 
5 哈达之欲Hunger of Hadar，短讯术Sending 
7 艾伐黑触手Evard’s Black Tentacles，异怪召唤术Summon Aberration 
9 拉瑞心灵连接Rary’s Telepathic Bond，心灵遥控Telekinesis </t>
  </si>
  <si>
    <t>穹宇尽视</t>
  </si>
  <si>
    <t>先决：魔契师等级9+
你可以施展秘法眼Arcane Eye 且无需消耗法术位。</t>
  </si>
  <si>
    <t>预兆</t>
  </si>
  <si>
    <t>预知未来的片段开始在你意识中闪过。每当你完成一次长休时，掷2次D20并记录其结果。你能用其中一个预言骰替换任何你或一个你能看见的生物进行的D20检定。你必须在检定进行前选择这样做，且你每回合只能以这种方式替换一次检定。
每个预言骰只能被使用一次。当你完成一次长休时，你失去所有未消耗的预言骰。</t>
  </si>
  <si>
    <t>自然语者</t>
  </si>
  <si>
    <t>你可以施展法术问道自然Commune With Nature，仅限仪式施展。感知是你该法术的施法属性。</t>
  </si>
  <si>
    <t>语出惊人</t>
  </si>
  <si>
    <t xml:space="preserve">你学会了如何运用你的妙语连珠来超自然地打断敌人、分散注意亦或是削弱他人的自信心和行动力。当一名你可见的位于你60尺内的生物进行伤害掷骰、成功于一次属性检定或攻击检定时，你能够以反应消耗一次诗人激励使用次数，并掷诗人激励骰，然后从该生物的掷骰结果中减去诗人骰的骰值，这将降低其造成的伤害或可能使这次检定的成功变为失败。 </t>
  </si>
  <si>
    <t>精通守御之光</t>
  </si>
  <si>
    <t>你在完成一次短休或长休后重新获得所有守御之光的使用次数。
此外，每当你使用守御之光时，你可以给予触发此反应的该次攻击所指定那个目标2d6+你感知调整值点临时生命值。</t>
  </si>
  <si>
    <t>自然庇护</t>
  </si>
  <si>
    <t>以一个魔法动作，你可以消耗一次荒野变形次数在距你120尺内的地面上制造出15尺立方区域的灵体丛林和藤蔓。它们持续存在1分钟或直到你陷入失能状态或死去。在该区域内，你和你的盟友获得半身掩护，你的盟友还会获得你自然守御特性提供的伤害抗性。
以一个附赠动作，你可以将立方区域在你的120尺内移动最多60尺距离。</t>
  </si>
  <si>
    <t>恐吓攻击</t>
  </si>
  <si>
    <t>你以攻击检定命中一个生物时，可消耗一枚卓越骰以尝试恐吓该目标。所消耗的卓越骰还会被加到此次攻击的伤害掷骰中。目标必须通过一次感知豁免，豁免失败则陷入恐慌状态，直到你下个回合结束为止。</t>
  </si>
  <si>
    <t>命极之手</t>
  </si>
  <si>
    <t>你对生命能量的掌握打开了通往命流奥义的大门。以一个魔法动作，你可以消耗5点功力，触碰一个死亡不超过24小时的生物的尸体。该生物会起死回生，并拥有相当于4d10+你的感知调整值的生命值。如果该生物死前具有以下这些状态，这些状态都会在复活时被移除：目盲、耳聋、麻痹、中毒和震慑。
此特性一经使用，直至完成长休你都无法再次使用。</t>
  </si>
  <si>
    <t>至圣光轮</t>
  </si>
  <si>
    <t>以一个附赠动作，你可以用圣力盈满你的守护灵光，灵光获得下列的增益，持续10分钟或直到你将之提前结束（无需动作）。此特性一经使用，直至完成长休你都无法再次使用。你也可以消耗一个五环法术位（无需动作）重置该特性的使用权。 
至圣守护Holy Ward。你被邪魔或不死生物迫使进行的豁免检定具有优势。
光耀伤害 Radiant Damage。每当敌人在灵光范围内开始回合时，该生物受到等同于你的魅力调整值+你的熟练加值的光耀伤害。
阳光 Sunlight。你的灵光内变为明亮光照，视为阳光。</t>
  </si>
  <si>
    <t>妖精漫游者魔法</t>
  </si>
  <si>
    <t>当你到达妖精漫游者法术表中特定的游侠等级时，你就始终准备了表中对应的法术。
妖精漫游者法术Fey Wanderer Spells 
游侠等级 法术
3 魅惑类人Charm Person 
5 迷踪步Misty Step 
9 妖精召唤术Summon Fey 
13 任意门Dimension Door 
17 误导术Mislead
你还获得了一种妖精祝福。你可以在下方精野之赐表中选择你的祝福或者随机决定它。
精野之赐Feywild Gifts 
1d6 祝福
1 在你进行长休或短休时，缥缈的蝴蝶在你周身振翅。
2 每天黎明，花朵将在你的头发中生长。
3 你身上有淡淡的肉桂、薰衣草或肉豆蔻，或另一种令人舒适的药草或香料的香味。
4 你的影子会在没人直视它时起舞。
5 你的头发中长出纤细的触角或鹿角。
6 你的肤色和发色会在每个黎明时改变。</t>
  </si>
  <si>
    <t>万能诡术</t>
  </si>
  <si>
    <t>你获得了使用法师之手Mage Hand 干扰敌人的能力。当你对一个生物使用诡诈打击中的摔绊选项时，你还可以对法师之手五尺内的另一个生物施加这个效果。</t>
  </si>
  <si>
    <t>传心谈话</t>
  </si>
  <si>
    <t>你能够在自己与他人的意识中构建一道心灵感应的链接。以一个附赠动作，你可以选择30尺内一个你可见的生物创造这一链接。链接能使你与其能够通过心灵感应方式进行交流，但交流时，你们之间距离的里数不超过你的魅力调整值里（至少1里）。你们必须使用互相知晓的语言进行心灵交流，才能使其理解你通过心灵感应传达的话语。
心灵感应的链接持续等同于你术士等级的分钟数。这一链接在你与另一生物构建链接时提前结束。</t>
  </si>
  <si>
    <t>坟茔殁语</t>
  </si>
  <si>
    <t>先决：魔契师等级7+
你可以施展死者交谈Speak With Dead 且无需消耗法术位。</t>
  </si>
  <si>
    <t>专业预言</t>
  </si>
  <si>
    <t>施展预言学派法术对你来说是如此容易，以至于其只会占用你施法努力中的一小部分。你消耗法术位施展一个环阶为二环或更高的预言学派法术时，可以恢复一个已消耗的法术位。所恢复的法术位环阶必须低于你正施展的预言学派法术，且不高于五环。</t>
  </si>
  <si>
    <t>兽力威能</t>
  </si>
  <si>
    <t>每当你激活狂暴时，你从下列选项中选择一项。 
游隼Falcon。狂暴激活期间，只要你没有着装任何护甲*，你就具有等于你速度的飞行速度。 
雄狮Lion。狂暴激活期间，任何位于你5尺内的敌人不以你（或另一个选择该项能力的野蛮人）为目标的攻击检定具有劣势。 
角羊Ram。狂暴激活期间，当你的近战攻击命中一名体型不超过大型的生物时，你可以令其陷入倒地状态。
*译注：无甲防御中特别强调了“你可以使用盾牌并仍从此特性获益”而该特性没有，因此你无法在使用盾牌时使用该飞行速度。</t>
  </si>
  <si>
    <t>魔法探秘</t>
  </si>
  <si>
    <t xml:space="preserve">你习得两道自选法术。这些法术可以从牧师、德鲁伊或法师的法术列表中单独或组合选择（这些职业的法术列表见其职业章节）。你选择的法术必须是戏法或是你拥有对应环阶法术位的法术，你拥有的法术位如吟游诗人特性表中所示。
你始终准备了你选择的这些法术。每当你获得一个吟游诗人等级时，你可以将其中一个法术替换为另一个满足上述要求的法术。 </t>
  </si>
  <si>
    <t>光冕</t>
  </si>
  <si>
    <t>以一个魔法动作，你可以让你自己散发出日光组成的灵光，持续一分钟或直至你将其解除（无需动作）。你散发出半径60尺的明亮光照以及额外30尺的微光光照。身处该明亮光照范围中的敌人，在抵抗你的黎明曙光特性以及任何造成火焰或光耀伤害的法术而进行豁免检定时具有劣势。
你可以使用该特性的次数等同于你的感知调整值（最低为1）。你在完成一次长休是重获所有已消耗的使用次数。</t>
  </si>
  <si>
    <t>结社形态</t>
  </si>
  <si>
    <t>你学会了如何在使用荒野变形的同时引导月之魔力，增益自身的力量，你获得以下增益：
挑战等级Challenge Rating。你的荒野变形形态的最大挑战等级现在等于你德鲁伊等级的三分之一（向下取整）。
护甲等级Armor Class。只要你仍处于荒野变形形态，如果13+你的感知调整值加起来高于野兽的护甲等级，你的护甲等级等于你13+你的感知调整值。
临时生命值Temporary Hit Points。当你化为荒野变形形态时，你获得等于德鲁伊等级的三倍数量的临时生命值。</t>
  </si>
  <si>
    <t>格挡</t>
  </si>
  <si>
    <t>其他生物以一次近战攻击检定对你造成伤害时，你可以执行反应消耗一枚卓越骰以减少伤害。减少的数值为卓越骰骰值＋你的力量或敏捷调整值（由你选择）。</t>
  </si>
  <si>
    <t>暗影技艺</t>
  </si>
  <si>
    <t>你掌握了如何唤出堕影冥界的力量，获得以下增益：
黑暗术Darkness。你可以消耗1点功力以施展黑暗术Darkness法术且无需任何法术成分。你可以看穿以这个特性施展的黑暗区域。法术持续期间，你可以在你的每个回合开始时将此法术区域移动到你60尺范围内的任意一处空间。
黑暗视觉Darkvision。你获得60尺黑暗视觉。如果你已经有黑暗视觉，则其范围提升60尺。
幻影术Shadowy Figments。你知晓戏法次级幻象Minor Illusion ，其施法属性为感知。</t>
  </si>
  <si>
    <t>鼓舞斩</t>
  </si>
  <si>
    <t>当你施展至圣斩后，你可以立即消耗一次你的引导神力次数，使30尺内由你选择的生物或你自身获得临时生命值。这些生物共获得的临时生命值等同于2d8+你的圣武士等级，你可以为其随意分配这些临时生命值。</t>
  </si>
  <si>
    <t>妖冶娴都</t>
  </si>
  <si>
    <t>每当你进行一次魅力检定时，你都可以在那次检定中获得等同于你的感知调整值的加值（至少+1）。
另外，你选择获得下列技能之一的熟练：欺瞒、表演或游说。</t>
  </si>
  <si>
    <t>法术窃贼</t>
  </si>
  <si>
    <t>你获得了如何以魔法从其他施法者那里偷取有关如何施展某一法术的知识的能力。
当一个生物施展了一个目标是你或是其效应范围会影响你的法术后，你可以立刻使用你的反应来迫使该生物进行一次智力豁免。其豁免DC等同于你的施法DC。若豁免失败，你消除这个法术对你的影响，并且你将偷走使用这个法术的知识，但这个法术最低必须是一环并且你可以施展的更高等级的法术（不需要是法师法术）。接下来的八小时内，你准备了这个法术。同时该生物在此期间无法施展这个法术，直到八小时结束以后。
此特性一经使用，直至完成长休你都无法再次使用。</t>
  </si>
  <si>
    <t>灵能术法</t>
  </si>
  <si>
    <t>当你施展一道 灵能法术特性中的一环或更高环阶的法术时，你可以改为使用等同于该法术环数数量的术法点而非消耗法术位施放该法术。你消耗术法点施放法术时，你无视该法术施法需要的言语成分或姿势成分。你同时无视该法术需要的不会消耗且未给出具体价值的材料成分。</t>
  </si>
  <si>
    <t>巫术视界</t>
  </si>
  <si>
    <t>先决：魔契师等级15+
你具有30尺真实视觉 。</t>
  </si>
  <si>
    <t>天眼通</t>
  </si>
  <si>
    <t>你可以增强你的察觉能力。以一个附赠动作，从以下增益中选择其一，其会持续至你开始一次短休或长休。此特性一经使用，直至完成短休或长休你都无法再次使用。
黑暗视觉Darkvision。你具有120尺黑暗视觉。
高等通晓Greater Comprehension。你可以读懂任何语言。
识破隐形See Invisibility。你能不消耗法术位地施展法术识破隐形See Invisibility 。</t>
  </si>
  <si>
    <t>圣树活力</t>
  </si>
  <si>
    <t xml:space="preserve">你的狂暴浸润着世界树的生命力。你获得以下增益：
活力之涌Vitality Surge 。当你激活狂暴时，你获得等于你野蛮人等级的临时生命值。
赐命之源Life-Giving Force 。你的狂暴激活期间，在你的每个回合开始时，你可以赋予位于你10尺内的另一名生物临时生命值。投掷等于你狂暴伤害加值数量的d6，将它们相加，即是该生物获得的临时生命值。当你的狂暴结束时，剩余的临时生命值将会消失。 </t>
  </si>
  <si>
    <t>超凡技艺</t>
  </si>
  <si>
    <t xml:space="preserve">当你进行一次属性检定或攻击检定并在检定中失败时，你可以消耗一次诗人激励使用次数，投掷诗人激励骰，并将掷骰结果加到d20中，这可能使这次检定的失败变为成功。若检定仍然失败，将不会被消耗诗人激励次数。 </t>
  </si>
  <si>
    <t>诡术祝福</t>
  </si>
  <si>
    <t>以一个魔法动作，你可以选择自己或30尺内一个自愿生物，所选生物在进行敏捷（隐匿）检定时具有优势。此祝福持续至你完成一次长休或直至你再次使用此特性。</t>
  </si>
  <si>
    <t>月亮结社法术</t>
  </si>
  <si>
    <t xml:space="preserve">当你到达月亮结社法术表中特定的德鲁伊等级时，你就始终准备了表中对应的法术。
此外，你可以在荒野变形下施展这些法术。 
月亮结社法术Circle of the Moon Spells 
德鲁伊等级 准备法术 
3 点点星芒Starry Wisp 疗伤术Cure Wound 月华之光Moonbeam 
5 咒唤兽群Conjure Animals 
7 月光涌泉Fount of Moonlight 
9 群体疗伤术Mass Cure Wounds </t>
  </si>
  <si>
    <t>精准攻击</t>
  </si>
  <si>
    <t>当你的一次攻击检定失手时，可以消耗一枚卓越骰并将其结果加在本次攻击的攻击检定中，这可能会导致其命中。</t>
  </si>
  <si>
    <t>暗影步</t>
  </si>
  <si>
    <t>当你完全身处微光光照或黑暗下时，你能以一个附赠动作传送到60尺内另一处你可见的未占据的空间，目标地点需要同样位于微光光照或黑暗下。接下来，你在当前回合结束前所做的下一次近战攻击具有优势。</t>
  </si>
  <si>
    <t>荣耀之誓法术</t>
  </si>
  <si>
    <t xml:space="preserve">你誓言具有的魔法使你始终准备了特定的法术。当你到达荣耀之誓法术表中特定的圣武士等级时，你就始终准备了表中对应的法术。
荣耀之誓法术Oath of Glory Spells 
圣武士等级 准备法术
3 光导箭Guiding Bolt，英雄气概Heroism 
5 强化属性Enhance Ability，魔化武器Magic Weapon 
9 加速术Haste，防护能量伤害Protection from Energy 
13 强迫术Compulsion，行动自如Freedom of Movement 
17 通晓传奇Legend Lore，悠兰德的王者威仪Yolande’s Regal Presence </t>
  </si>
  <si>
    <t>妖思魅缕</t>
  </si>
  <si>
    <t>妖精荒原的魔法护卫着你的心灵。你在对抗或终止魅惑或恐惧状态的豁免检定上具有优势。
此外，当你或位于你120尺内的一个你可见的生物，通过了一次对抗或终止魅惑或恐惧状态的豁免检定时，你可以用你的反应迫使位于你120尺内的另一个你可见的不同生物，进行一次对抗你法术豁免DC的感知豁免。豁免失败，目标则陷入魅惑或恐慌状态（由你选择）1分钟。目标在其每回合结束时重复此豁免，豁免成功则结束此效应。</t>
  </si>
  <si>
    <t>暗杀</t>
  </si>
  <si>
    <t>你精通于对目标发起奇袭，你获得以下增益：
先攻Initiative。你的先攻掷骰具有优势。
惊扰突袭Surprising Strikes。每次战斗的第一轮中，你对任何还没有经历过自己回合的生物发动的攻击检定都具有优势。如果你在那一轮里命中并偷袭了任意目标，该目标将承受等同于你的游荡者等级的额外伤害，该伤害的类型与你的武器伤害类型一致。</t>
  </si>
  <si>
    <t>心灵防御</t>
  </si>
  <si>
    <t>你获得心灵伤害的抗性。此外，你在避免和结束魅惑状态与恐慌状态的豁免检定上具有优势。</t>
  </si>
  <si>
    <t>契约魔法</t>
  </si>
  <si>
    <t>依靠玄秘的仪式，你与一位神秘存在缔结契约以获得魔法力量。这位存在隐于影中，仅闻其声，身份不明——但其恩泽是切实的。施法规则见第七章。下文将详述如何将这些规则应用于魔契师法术，魔契师法术详见本章后文职业描述中的魔契师法术列表。</t>
  </si>
  <si>
    <t>高等预兆</t>
  </si>
  <si>
    <t>你梦中的景象更为清晰地在你意识中描绘出了将要发生的一切。为你的预兆 特性掷3次d20，而不是2次。</t>
  </si>
  <si>
    <t>灵树枝杈</t>
  </si>
  <si>
    <t>你的狂暴激活期间，每当你可见的位于你30尺内的生物的回合开始时，你能够以反应在其周围召唤世界树的灵体枝条。目标必须成功通过一次力量豁免（DC等于8+你的力量调整值+你的熟练加值），否则将被传送到位于你5尺内的你可见的未占据空间内或距离你最近的你可见的未占据空间内。目标被你传送后，你可以令其速度降为0，持续至当前回合结束。</t>
  </si>
  <si>
    <t>战斗激励</t>
  </si>
  <si>
    <t>你可以运用你的巧言来改变战斗的走向。一名拥有你的诗人激励骰的生物可以从下列选项中选择一种效应来使用诗人骰。
防御Defense。当这名生物被一次攻击检定命中时，该生物能够以反应掷诗人激励骰并将骰值加到对抗这次攻击检定的AC中，这可能使这次攻击变为失手。 
进攻Offense。这名生物以一次攻击检定命中一名目标后，它可以立即投掷诗人激励骰，并将骰值加到这次攻击对这名目标造成的伤害中。</t>
  </si>
  <si>
    <t>召现分身</t>
  </si>
  <si>
    <t>以一个附赠动作，你可以消耗一次引导神力次数来创造一个自己的完美视觉幻象并出现在你身边30尺内一个你能看见且未占据空间。该幻象是无实体的且不占据它所在的空间。幻象持续1分钟，或直至你将其解除（无需动作）或陷入失能状态。这个幻象栩栩如生，能模仿你的表情和姿势。当幻象存在时，你将获得以下好处：
施法Cast Spells。你可以如同你在幻象所在位置施展法术，但必须使用你自己的感官。
干扰Distract。当你和你的幻象都在同一个生物身边5尺内，且该生物可以看见幻象时，由于幻象对目标造成的干扰，你对其进行的攻击检定具有优势。
转移Move。以一个附赠动作，你可以移动幻象至多30尺到达一处空间，该空间必须是你120尺内一处可见的未占据空间。</t>
  </si>
  <si>
    <t>进阶结社形态</t>
  </si>
  <si>
    <t>当处于荒野变形时，你获得以下增益。
月耀辉光Lunar Radiance。你在荒野变形形态下的每次攻击可以造成普通的伤害或光耀伤害。由你在每次攻击命中时选择。
强化韧性Increased Toughness。 你将你的感知调整值加到你的体质豁免结果当中。</t>
  </si>
  <si>
    <t>推撞攻击</t>
  </si>
  <si>
    <t>你以武器攻击或徒手打击发动的攻击检定命中一个生物时，可以消耗一枚卓越骰以尝试将该目标推开。所消耗的卓越骰还会被加到此次攻击的伤害掷骰中。如果该目标体型为大型或更小，则必须通过一次力量豁免，豁免失败将被往远离你的方向直线推动至多15尺。</t>
  </si>
  <si>
    <t>无影步</t>
  </si>
  <si>
    <t>你可以利用与堕影冥界的连结来增强自己的传送能力。当你使用暗影步特性时，你可以消耗1点功力，移除开始和结束时对微光光照或黑暗环境的要求。此外，作为这个附赠动作的一部分，你可以立即在传送之后进行一次徒手打击。</t>
  </si>
  <si>
    <t>绝伦健将</t>
  </si>
  <si>
    <t>以一个附赠动作，你可以消耗一次引导神力次数以增强运动能力。1小时内，你在力量（运动）检定和敏捷（特技）检定上获得优势，且你跳远和跳高的距离增加10尺（你依然为此正常消耗移动力）。</t>
  </si>
  <si>
    <t>精宸所与</t>
  </si>
  <si>
    <t>你可以无需材料成分地施展妖精召唤术Summon Fey 。同时，你可以免费施展这个法术一次而不需要消耗法术位，在你完成一次长休后，你重获免费施展该法术的能力。
每当你施展此法术时，你都可以微调这一法术使其无需专注。以无需专注的方式施法时，该法术的持续时间将变为一分钟。</t>
  </si>
  <si>
    <t>刺客工具</t>
  </si>
  <si>
    <t>你获得一套伪装工具和一套毒药工具，并获得这些工具的熟练项。</t>
  </si>
  <si>
    <t>血肉启示</t>
  </si>
  <si>
    <t>你能够释放出潜藏在你内部扭曲的真实形态。以一个附赠动作，你使用1点或更多的术法点以魔法性地转变形态，持续10分钟。你每消耗1术法点，你便可以从下述内容中选择一项，在转变形态期间你同时获得你选择的每项效应的增益：
水生适应Aquatic Adaptation。你获得等同于你两倍行走速度的游泳速度，且你能在水下呼吸。不止如此，你的脖子两侧会长出鳃、或鳃在耳后呈扇状翻出、或你的手指变成蹼趾、或是有卷曲的纤毛从你的衣服底下延展出来。
闪耀飞翔Glistening Flight。你获得等于你速度的飞行速度，并能悬浮。当你飞行时，你的皮肤表面流出发光的粘液、或是散发出异界的光芒。
识破隐形See the Invisible。你能看见周围60尺内处于隐形状态的生物，前提是其对你来说不处于全身掩护。你的眼睛也会变成黑色、或是变成扭动的感官触须。
蠕行移动Wormlike Movement。你的身体和你携带的装备都变得柔韧粘滑。你能够轻松穿过最窄1寸宽的狭窄空间而不用挤进去，且你可以消耗5尺移动力以脱离非魔法的束缚或受擒状态。</t>
  </si>
  <si>
    <t>你习得两个魔契师戏法。推荐选择魔能爆Eldritch Blast和魔法伎俩Prestidigitation。每当你获得一级魔契师等级，你便可以将一个已知戏法替换为另一个你所选的魔契师戏法。
当你在此职业上达到4级和10级时，你习得一个额外的魔契师戏法，如魔契师特性表中戏法数量一栏所示。</t>
  </si>
  <si>
    <t>塑能学者</t>
  </si>
  <si>
    <t>从法师法术列表中选择两道不高于二环的塑能学派法术，并将其免费加入你的法术书中。
此外，每当你在本职业中获得一个新环阶的法术位时，你都能免费将一道法师法术列表中的塑能学派法术加入你的法术书中。你所选的法术都必须是你当前拥有法术位的环阶。</t>
  </si>
  <si>
    <t>根击千钧</t>
  </si>
  <si>
    <t>世界树的卷须将你的武器延长。你的回合内，你持用的任何具有重型或多用词条的近战武器的触及增加10尺。当你在你的回合内以该武器命中时，除了这把武器本身的精通词条外，你还可以为其应用推离或失衡精通词条。</t>
  </si>
  <si>
    <t>战争训练</t>
  </si>
  <si>
    <t>你获得军用武器熟练以及中甲和盾牌 的护甲受训。 此外，你施展吟游诗人法术列表中的法术时，可以使用简易或军用武器作为法器。</t>
  </si>
  <si>
    <t>诡术领域法术</t>
  </si>
  <si>
    <t xml:space="preserve">你与此神圣领域的链接使你始终准备了特定的法术。当你到达诡术领域法术表中特定的牧师等级时，你就始终准备了表中对应的法术。
诡术领域法术 Trickery Domain Spells
牧师等级 准备法术 
3 魅惑人类Charm Person，易容术Disguise Self 隐形术Invisibility，行动无踪Pass without Trace 
5 催眠图纹Hypnotic Pattern，回避侦测Nondetection 
7 困惑术Confusion，任意门Dimension Door 
9 支配类人Dominate Person，篡改记忆Modify Memory </t>
  </si>
  <si>
    <t>月光飞步</t>
  </si>
  <si>
    <t>你能以魔法传送自身，在一道月光中重新出现。以一个附赠动作，你传送最多30尺到一处你能看见的未被占据的空间，并且你在这个回合结束前进行的下一次攻击具有优势。
你可以使用该特性的次数等于你的感知调整值（至少1次），并且你在结束一次长休后重获全部已消耗的使用次数。你也能消耗一个二环或更高的法术位来恢复一次使用次数（无需任何动作）。</t>
  </si>
  <si>
    <t>重整旗鼓</t>
  </si>
  <si>
    <t>以一个附赠动作，你可以消耗一枚卓越骰以鼓舞一名战友的士气。选择一名位于你30尺内的能看见你或听到你的盟友。该生物获得数量等于你战士等级的一半（向下取整）加卓越骰结果的临时生命值。</t>
  </si>
  <si>
    <t>幽影斗篷</t>
  </si>
  <si>
    <t>当你完全身处微光光照或黑暗环境下时，你能够以一个魔法动作消耗3点功力来让你周围环绕幽影，持续1分钟，直至你陷入失能状态或在明亮光照中结束回合。当周身环绕幽影时，你获得以下好处：
隐形Invisibility。你获得隐形状态。
局部虚化Partially Incorporeal。你可以如同通过困难地形一般通过已占据空间。如果你回合结束时仍然处于已占据空间之中，则会被排出到之前最近一个未占据空间。
幽影连击Shadow Flurry。 你使用疾风连击时不再需要消耗功力。</t>
  </si>
  <si>
    <t>迅捷灵光</t>
  </si>
  <si>
    <t>你的速度提升10尺。
此外，每个在自己回合第一次进入你守护灵光内的盟友，或在其内开始回合的盟友，速度提升10尺，直到其下个回合结束为止。</t>
  </si>
  <si>
    <t>雾行漫游</t>
  </si>
  <si>
    <t>你可以免费施展迷踪步Misty Step 而不需要消耗法术位，次数等同于你的感知调整值次（至少一次），在完成一次长休后，你重获所有的已消耗的次数。
另外，每当你施展迷踪步Misty Step 时，你可以携带一个位于你5尺内你可见的自愿生物与你一同传送。那个生物会被传送到由你选择的，位于你的目标位置5尺内的一处未占据空间内。</t>
  </si>
  <si>
    <t>专业渗透</t>
  </si>
  <si>
    <t>你是潜入渗透的专家，你熟练掌握了以下技巧来帮助自己的潜入：
模仿大师Masterful Mimicry。在你至少花费了一小时的时间来进行钻研后，你能够精准无误的模仿其他人的言语、笔迹或同时模仿以上两项内容。
机动瞄准Roving Aim。你使用稳定瞄准特性时速度不会归零。</t>
  </si>
  <si>
    <t>扭曲内爆</t>
  </si>
  <si>
    <t>你能够释放出扭曲空间的异常现象。以一个魔法动作，你传送到120尺内你可见的一个未被占据的位置，然后你消失位置30尺内的每个生物必须进行一次对抗你施法DC的力量豁免，豁免失败将受3d10力场伤害并被立即拉向你原本的位置，并停在最靠近的一处未被占据的空间内，豁免成功只受半伤。
此特性一经使用，直至完成长休你都无法再次使用。你也可以消耗5点术法点（无需动作）重置该特性的使用权。</t>
  </si>
  <si>
    <t>魔契师特性表中记录了你可用以施展魔契师法术的一环至五环法术位数量。表格中还记录了法术位对应的法术环阶，且你所有的法术位都属于同一环阶。已消耗的法术位可在完成短休或长休后恢复。
例如，5级时，你总共具有两枚三环法术位。你施展一环法术巫术箭时，必须消耗这些法术位其中之一，并把它作为一个三环法术施放。</t>
  </si>
  <si>
    <t>强力戏法</t>
  </si>
  <si>
    <t>你造成伤害的戏法甚至能影响到本可免受戏法效应影响的生物。当你施展一道戏法，其攻击检定失手，或目标对抗你戏法的豁免成功时，它仍会受到一半伤害（若有），但不会受到该戏法的其他效应影响。</t>
  </si>
  <si>
    <t>世界树之奇旅</t>
  </si>
  <si>
    <t xml:space="preserve">当你激活狂暴时，你可以传送至多60尺的距离，到一处你可见的未占据空间中。在你的狂暴激活期间，你也能够以一个附赠动作来进行传送。
此外，每次狂暴期间仅一次，你可以使传送的距离提升至150尺，并可以选择带上至多6个位于你10尺内的自愿生物同你一起传送。每个其他生物都将被传送至位于你目的地10尺内的你选择的未占据空间中。 </t>
  </si>
  <si>
    <t>当你在自己的回合执行攻击动作时，你可以发动两次攻击而非一次。此外，你可以将额外攻击中的一次，替换为施展一道施法时间为一动作的戏法。</t>
  </si>
  <si>
    <t>诡诈换位</t>
  </si>
  <si>
    <t xml:space="preserve">每当你使用附赠动作创造或移动你来自召现分身特性的幻象时，你都可以通过传送与幻象交换位置。 </t>
  </si>
  <si>
    <t>月辉形态</t>
  </si>
  <si>
    <t>月之力量充盈着你的身体，让你获得以下增益：
月耀炽光Improved Lunar Radiance。一回合一次，你可以对一次荒野变形下的攻击命中的一名目标额外造成2d10光耀伤害。
月辉同行Shared Moonlight。当你使用月光飞步时，你还能传送另一个自愿的生物。该生物必须在你的10尺内，并且你将它传送到你出现点的10尺内的一个你能看见的未被占据空间中。</t>
  </si>
  <si>
    <t>反击</t>
  </si>
  <si>
    <t>当一个生物对你发动了一次近战攻击检定但失手时，你可以执行一个反应并消耗一枚卓越骰使用武器或徒手打击对其发动一次近战攻击检定。如果该攻击命中，则将卓越骰加在此攻击的伤害掷骰中。</t>
  </si>
  <si>
    <t>元素同调</t>
  </si>
  <si>
    <t>在你回合开始时，你可以消耗1点功力让元素能量浸润己身。这股能量将会持续存在10分钟，或直至你陷入失能状态。持续时间内，你获得以下好处：
触及Reach。你可以将元素能量打出体外，当你进行徒手打击的时候，你的触及提升10尺。
元素注拳Elemental Strikes。当你使用徒手打击攻击命中时，你可以选择使其造成强酸，寒冷，火焰或闪电伤害，而非通常的伤害类型。当你以徒手打击造成以上种类的伤害时，你可以迫使目标进行一次力量豁免。若失败，你可以利用周身的元素之力将目标拉近或推离10尺。</t>
  </si>
  <si>
    <t>辉煌防御</t>
  </si>
  <si>
    <t>你能在防御中转守为攻，对敌人发起突然袭击。当你或位于你10尺内一个你可见的生物成为一次攻击的目标并被击中时，你可以用反应使其获得一定的AC加值，此举可能使该次攻击改为失手。此加值等同于你的魅力调整值（至少为+1）。若该次攻击失手，且攻击者在你的武器触及范围内，你可以用武器对其进行一次攻击，这次攻击视为反应的一部分。
你能使用此特性的次数为你的魅力调整值（最少一次）。你在完成一次长休后回复所有消耗的次数。</t>
  </si>
  <si>
    <t>恐惧伏击</t>
  </si>
  <si>
    <t>你精通于伏击的恐怖技艺，并获得了以下增益。
伏击者之跃Ambusher's Leap。在每一场战斗的你的第一个回合的开始，你的移动速度增加10尺，直到那个回合结束。
恐惧打击 Dreadful Strike。当你用武器对生物攻击并命中时，你可以额外对目标造成2d6点心灵伤害。你在每回合中只能使用一次这个增益，你可以使用这一增益的次数等同于你的感知调整值（最低一次），并在完成一次长休后重获全部已消耗的使用次数。
先攻加值Initiative Bonus。当你投掷先攻时，你可以在那次掷骰中加入你的感知调整值。</t>
  </si>
  <si>
    <t>淬毒武器</t>
  </si>
  <si>
    <t>当你使用诡诈打击时，每当目标在对抗你的淬毒选项时豁免检定失败，它会受到额外2D6的毒素伤害。该伤害无视毒素抗性。</t>
  </si>
  <si>
    <t>时械法术</t>
  </si>
  <si>
    <t>当你到达时械法术表中特定的术士等级时，你就始终准备了表中对应的法术。
时械法术Clockwork Spells 
术士等级 准备法术
3 防护善恶Protection from Evil and Good，警报术Alarm，次等复原术Lesser Restoration，援助术Aid 
5 解除魔法Dispel Magic，防护能量Protection from Energy 
7 行动自如Freedom of Movement，构装召唤术Summon Construct 
9 高等复原术Greater Restoration，力场墙Wall of Force 
此外，你可以从秩序显迹表格中选择或掷骰决定一种你在施法时显现出与秩序之联系的方式。
秩序显迹 Manifestations of Order 
1d6 显迹
1 幽灵般的虚幻齿轮在你身后旋转。
2 时钟的指针出现在你的眼中。
3 你的皮肤发出如黄铜般的金属光泽。
4 你的体表浮动着方程式和几何图形。
5 你的法器短暂地变化成小巧的机械装置。
6 你和那些受到你法术影响的生物都会听到齿轮的滴答声或是钟表的响铃。</t>
  </si>
  <si>
    <t>你从能够通过此特性施展的法术中选择数个一环及以上的法术进行准备。起始时，你从魔契师法术列表中选择并准备两个一环法术。推荐选择魅惑类人Charm Person和脆弱诅咒Hex。
魔契师特性表中准备法术一栏记录了你能准备更多法术时的相应等级。每当你能准备的法术数量增长时，你都需要选择并准备额外的法术，直到你法术列表中的法术数量与准备法术一栏中的对应数量相等。每个新准备的法术的法术环阶都必须不高于特性表中法术位环阶一栏中所写的上限。比如，当你到达第6级时，你可以新习得一个1-三环的魔契师法术。
如果其他魔契师职业特性给予你总是准备了的法术，这些法术不计入你的准备法术数量，但遵循此特性的其他施法规则，且那些法术对你而言是魔契师法术。</t>
  </si>
  <si>
    <t>法术塑形</t>
  </si>
  <si>
    <t>你的塑能学派法术作用范围里可以保留一小部分相对安全的区域。当你施展一个会影响你可见的其他生物的塑能学派法术时，你能从中指定数量等同于1+该法术环阶的生物。被指定的生物进行对抗该法术的豁免时将直接成功，且如果法术在豁免成功后仍然造成一半的伤害，这些生物不会承受任何伤害。</t>
  </si>
  <si>
    <t>神性之怒</t>
  </si>
  <si>
    <t xml:space="preserve">你可以引导神性的怒火，将其注入打击之中。你的狂暴激活期间，你的每个回合中你首次以武器或徒手打击命中的生物将受到等于1d6+你野蛮人等级的一半（向下取整）的额外伤害。额外伤害的伤害类型为光耀或暗蚀，在每次造成伤害时由你选择伤害类型。 </t>
  </si>
  <si>
    <t>战斗魔法</t>
  </si>
  <si>
    <t>在你施展一道施法时间为一动作的法术后，你能够以一个附赠动作，使用一把武器发动一次攻击。</t>
  </si>
  <si>
    <t>精通分身</t>
  </si>
  <si>
    <t xml:space="preserve">你召现分身特性所创造的幻象在以下方面变得更加强力。
共享干扰Shared Distraction。当你和你的盟友对位于幻象5尺内的生物进行攻击检定时具有优势。
治愈幻象Healing Illusion。当幻象消失时，你或你选择的5尺内的一名生物恢复等同于你牧师等级的生命值。 </t>
  </si>
  <si>
    <t>海洋结社法术</t>
  </si>
  <si>
    <t xml:space="preserve">当你到达海洋结社法术表中特定的德鲁伊等级时，你就始终准备了表中对应的法术。
海洋结社法术Circle Spells
德鲁伊等级 准备法术
3 冷冻射线Ray of Frost，云雾术Fog Cloud， 雷鸣波Thunderwave，造风术Gust of Wind，粉碎音波Shatter 
5 闪电束Lightning Bolt，水下呼吸Water Breathing 
7 操控水体Control Water，冰风暴Ice Storm 
9 咒唤元素Conjure Elemental，定身怪物Hold Monster </t>
  </si>
  <si>
    <t>横扫攻击</t>
  </si>
  <si>
    <t>你以武器或徒手打击发动的近战攻击检定命中一个生物时，可以消耗一枚卓越骰以尝试伤害另一个生物。指定一个处于你触及范围内并且距离初始目标不超过5尺的生物，如果你原本的攻击检定足以命中第二个目标，则它将受到等同于你卓越骰结果的伤害。此伤害与你原本攻击的伤害类型相同。</t>
  </si>
  <si>
    <t>掌控元素</t>
  </si>
  <si>
    <t>你习得戏法四象法门Elementalism ，其施法属性为感知。</t>
  </si>
  <si>
    <t>现世传说</t>
  </si>
  <si>
    <t>你能够使自己有能力实现传奇的壮举——无论是确有此事，抑或夸大其词。以一个附赠动作，你获得下列的增益。持续10分钟或直到你将之提前结束（无需动作）。此特性一经使用，直至完成长休你都无法再次使用。你也可以消耗一个五环法术位（无需动作）重置该特性的使用权。
神眷天恩Charismatic。一个异界存在赐福于你，你在与魅力相关的检定上获得优势。
重掷豁免Saving Throw Reroll。当你进行一次豁免检定并失败时，你可以用反应重投之。你必须使用重投的结果。
无误打击Unerring Strike。每自己回合一次，当你进行一次武器攻击但失手，你可以使其改为击中。</t>
  </si>
  <si>
    <t>幽域追猎者魔法</t>
  </si>
  <si>
    <t>当你到达幽域追猎者法术表中特定的游侠等级时，你就始终准备了表中对应的法术。
幽域追猎者法术Gloom Stalker Spells 
游侠等级 法术
3 易容术Disguise Self 
5 魔绳术Rope Trick 
9 恐惧术Fear
13 高等隐身术Greater Invisibility 
17 伪装术Seeming</t>
  </si>
  <si>
    <t>致命袭杀</t>
  </si>
  <si>
    <t>当你在战斗的第一轮命中并偷袭了某一目标时，该目标必须成功通过一次体质豁免（DC8+你的熟练加值+你的敏捷调整值），否则本次攻击将对该目标造成双倍的伤害。</t>
  </si>
  <si>
    <t>归复平衡</t>
  </si>
  <si>
    <t>你与绝对秩序之位面的联系使你能重整混沌的时刻。当你60尺内一个你可见的生物即将带着优势或是劣势进行一次检定时，你可以用反应使这次检定免受优势或劣势的影响。
你可以使用此能力的次数等同于你的魅力调整值（至少1次）。当你完成一次长休时，你重获全部已消耗的使用次数。</t>
  </si>
  <si>
    <t>每当你获得一级魔契师等级，你可以将你的准备法术表中的一个法术换成另一个你所选的魔契师法术。你必须拥有新法术对应的法术位。</t>
  </si>
  <si>
    <t>强效塑能</t>
  </si>
  <si>
    <t>当你施展一道法师法术列表里的塑能学派法术时，你能将你的智力 调整值加入该法术的其中一次伤害掷骰中。</t>
  </si>
  <si>
    <t>神之勇者</t>
  </si>
  <si>
    <t xml:space="preserve">某个神圣实体对你施以援手以确保你总能继续战斗。你获得一个有着4枚d12的治疗池，你可以用其中的骰子治愈自身。以一个附赠动作，你可以消耗治疗池中任意枚骰子来恢复你的生命值。投掷所有你消耗的骰子，将它们相加，即是你以此恢复的生命值。
当你完成一次长休时，你的治疗池重获所有已消耗的骰子。
治疗池中骰子的最大数量将会在你到达特定野蛮人等级时增加，分别为6级时增加至5枚，12级时增加至6枚，17级时增加至7枚。 </t>
  </si>
  <si>
    <t>导引打击</t>
  </si>
  <si>
    <t>当你或者距离你30尺内的一个生物在一次攻击检定中失手时，你可以消耗一次引导神力次数来让这次攻击检定获得+10加值，这可能导致该次攻击命中。当你使用此特性让另一个生物的攻击检定获得此增益时，你必须使用你的反应。</t>
  </si>
  <si>
    <t>瀚海之怒</t>
  </si>
  <si>
    <t>以一个附赠动作，你可以消耗一次你的荒野变形次数来在自己周围显现出海浪形态的5尺光环。光环会持续存在10分钟。当你解除它（无需任何动作）、再度显现光环或陷入失能时，它会提前结束。
当你显现出光环时，以及在之后的回合中以一个附赠动作，你可以选择另一个在你光环范围内你可见的生物。该生物必须成功通过一次对抗你的法术豁免DC的体质豁免，否则受到寒冷伤害，如果该生物是大型或更小体型，它会被从你身边推离至多15尺距离。投掷等于你感知调整值数量（最少1颗）的d6骰来决定伤害。</t>
  </si>
  <si>
    <t>战术预估</t>
  </si>
  <si>
    <t>当你进行一次智力（调查或历史）或感知（洞悉）检定时，你能够消耗一枚卓越骰，将消耗的卓越骰加入此次属性检定中。</t>
  </si>
  <si>
    <t>元素爆破拳</t>
  </si>
  <si>
    <t>以一个魔法Magic动作，你可以消耗2点功力，凝聚元素能量，在你周围120尺内的一点产生一场半径20尺球状区域的能量爆发。你选择一种伤害类型：强酸，寒冷，火焰，闪电或雷鸣。
球状区域内的每个生物必须成功通过进行一次敏捷豁免。若失败，该生物受到相当于你3个武艺骰的伤害，其伤害类型为你之前所选择的类型。若成功，则受到一半伤害。</t>
  </si>
  <si>
    <t>自然之怒</t>
  </si>
  <si>
    <t>以一个魔法动作，你可以消耗一次引导神力次数，唤出灵体藤蔓缠绕周围的生物。你选择你能看到的位于你15尺内的任意数量生物，令其必须通过一次力量豁免，失败陷入束缚状态1分钟。被束缚的生物可以在其回合结束时重复豁免，成功则不再受到此效应影响。</t>
  </si>
  <si>
    <t>阴影视野</t>
  </si>
  <si>
    <t>你获得60尺黑暗视觉。如果你获得本特性时已拥有了黑暗视觉，那个黑暗视觉的范围增加60尺。
你还擅长避开依赖黑暗视觉的角色。完全身处黑暗期间，对于任何依靠黑暗视觉观察黑暗中的你的生物而言，你具有隐形状态。</t>
  </si>
  <si>
    <t>灵能力量</t>
  </si>
  <si>
    <t>你内心蕴含着一股灵能力量，这股能量表现为你拥有数枚灵能骰。你可以使用这些灵能骰来驱动你从这个子职中获得的特定心灵异能。下方的魂刃灵能骰列表展示了你在达到特定游荡者等级时会拥有多少颗灵能骰，该列表同样列出了骰子大小。
魂刃灵能骰Soulknife Energy Dice 
游荡者等级 骰面 数量
3 D6 4
5 D8 6
9 D8 8
11 D10 8
13 D10 10
此子职中所有需要使用灵能骰的特性只能使用你从该子职获得的灵能骰。你在使用某些能力时需要消耗灵能骰，如异能描述中所述，如果某个异能在你的灵能骰全部消耗完后还需要你使用一个灵能骰，你就不能使用该异能。
你可以在完成一次长休时重获所有已消耗的灵能骰。此外，你完成一次短休时也会重获一枚已消耗的灵能骰。
灵振诀窍Psi—Bolstered Knack。如果你使用具有熟练项的技能或工具进行一次属性检定但失败，你可以投掷灵能骰，并将掷骰结果加到检定结果中，这可能会让失败的检定变为成功。你只在掷骰结果让检定变为成功时才会消耗那颗灵能骰。
心灵低语Psychic Whispers。你能够利用灵能在自己和他人之间建立起基于心灵感应的交流。以一个魔法动作，从可见的生物中选择一到至多等同于你熟练加值数量的生物，掷一枚灵能骰。你在投掷结果数的小时内，你选择的生物能够通过心灵感应与你进行交流，你也能通过心灵感应与他们进行交流。你们在发送或接收信息时（无需动作），你和选择生物之间的距离不可超过一里。生物可以随时终止心灵感应的链接（无需动作）。
在每次长休后你可以免费使用一次这个异能。除此之外，每次使用它你都得消耗一枚灵能骰。</t>
  </si>
  <si>
    <t>律令之壁</t>
  </si>
  <si>
    <t>你可以利用世界的均衡之力为一个生物激发闪烁的秩序之盾。以一个魔法动作，你可以消耗1~5点术法点来创造出一个环绕你或30尺内的一个可见生物的魔法屏障。屏障具有等同于你所消耗术法点数量的d8骰。当被守护的生物受到伤害时，其可以消耗任意数量的这些d8骰，投掷它们，并使该伤害减少掷出结果合计的数值。
此屏障将一直保持存在，直到你完成一次长休或直至你再次使用该特性。</t>
  </si>
  <si>
    <t>魅力是你的魔契师法术的施法属性。</t>
  </si>
  <si>
    <t>超限导能</t>
  </si>
  <si>
    <t>你能增强你法术的力量。当你用一个一至五环的法术位施展一个会造成伤害的法师法术时，你能在施展它的回合中令其造成的伤害取最大值。
你首次这么做时不会承受任何负面效应。但如果你在完成一次长休前再次使用该特性，则你会在施展法术后立即受到每环阶2d12暗蚀伤害。该伤害无视任何抗性或免疫。
你在完成一次长休前每多使用此特性一次，每环阶造成的伤害就提升1d12。</t>
  </si>
  <si>
    <t>专心炽志</t>
  </si>
  <si>
    <t xml:space="preserve">每次狂暴期间仅一次，若你失败于某次豁免检定，你可以重骰这次检定并在检定中获得等于你的狂暴伤害加值的加值，你必须使用重骰后的结果。 </t>
  </si>
  <si>
    <t>战争领域法术</t>
  </si>
  <si>
    <t>水生亲和</t>
  </si>
  <si>
    <t>你的瀚海之怒创造的光环范围提升至10尺。
此外，你获得等于你速度的游泳速度。</t>
  </si>
  <si>
    <t>摔绊攻击</t>
  </si>
  <si>
    <t>你以武器或徒手打击发动的攻击检定命中一个生物时，可以消耗一枚卓越骰并将所消耗的卓越骰加在此次攻击的伤害掷骰中。如果该目标体型为大型或更小，则必须通过一次力量豁免。豁免失败将陷入倒地状态。</t>
  </si>
  <si>
    <t>四象遁术</t>
  </si>
  <si>
    <t>当你处于元素同调特性激活期间，你获得相当于你速度的飞行速度与游泳速度。</t>
  </si>
  <si>
    <t>古贤之誓法术</t>
  </si>
  <si>
    <t xml:space="preserve">你誓言具有的魔法使你始终准备了特定的法术。当你到达古贤之誓法术表中特定的圣武士等级时，你就始终准备了表中对应的法术。
古贤之誓法术Oath of the Ancients Spells 
圣武士等级 准备法术
3 捕获打击Ensnaring Strike，动物交谈Speak with Animals 
5 迷踪步Misty Step，月华之光Moonbeam 
9 植物滋长Plant Growth，防护能量伤害Protection form Energy 
13 冰风暴Ice Storm，石肤术Stoneskin 
17 问道自然Commune with Nature，树跃术Tree Stride </t>
  </si>
  <si>
    <t>钢铁意志</t>
  </si>
  <si>
    <t>你已经磨炼出了抵御精神影响的能力。你获得感知豁免熟练。如果你已经有这项熟练，你可以获得智力或者魅力豁免熟练（由你选择）来代替。</t>
  </si>
  <si>
    <t>念刃</t>
  </si>
  <si>
    <t>你能将自己的心灵异能塑造为由灵能构成的闪亮刀刃。当你执行攻击动作或者进行一次借机攻击时，你能在空闲的手中塑造出心灵之刃，并使用它来进行攻击。这种魔法刀刃具有以下特性：
武器种类：简易武器
命中伤害：1d6点心灵伤害，附加用于该次攻击检定的属性调整值
词条：灵巧，投掷（60/120尺射程）
精通：侵扰（你能使用它的精通，而不算作你能使用的武器精通总数中）
念刃会在你进行一次近战或远程攻击后立刻消失，并且即使它造成伤害也不会留下任何痕迹。 
当你使用念刃发动攻击后的同一回合中，只要你的另一只手空闲，就能以一个附赠动作在那只手中塑造第二把念刃，并再进行一次近战武器攻击或是远程武器攻击。此附赠攻击的伤害骰为1d4，而非1d6。</t>
  </si>
  <si>
    <t>序列意识</t>
  </si>
  <si>
    <t>你获得了将你的意识和机械境无尽的计算达成同步的能力。以一个附赠动作，你可以在1分钟内进入此种状态。在此期间，对你进行的攻击免受优势的影响，且每当你进行一次d20检定时，你可以将d20掷出的9或以下的骰值视为10。
此特性一经使用，直至完成长休你都无法再次使用。你也可以消耗5点术法点（无需动作）重置该特性的使用权。</t>
  </si>
  <si>
    <t>你可以使用奥术法器作为你魔契师法术的施法法器。</t>
  </si>
  <si>
    <t>幻术学者</t>
  </si>
  <si>
    <t>从法师法术列表中选择两道不高于二环的幻术学派法术，并将其免费加入你的法术书中。
此外，每当你在本职业中获得一个新环阶的法术位时，你都能免费将一道法师法术列表中的幻术学派法术加入你的法术书中。你所选的法术都必须是你当前拥有法术位的环阶。</t>
  </si>
  <si>
    <t>狂热威仪</t>
  </si>
  <si>
    <t xml:space="preserve">以一个附赠动作，你以满腔神圣能量发出战吼。选择至多十名位于你60尺内的生物，直至你的下个回合开始，他们的攻击检定和豁免检定具有优势。
此特性一经使用，直至完成长休你都无法再次使用。你也可以消耗一次狂暴使用次数（无需动作）来重置该特性的使用权。 </t>
  </si>
  <si>
    <t>战争祭司</t>
  </si>
  <si>
    <t>作为一个附赠动作，你可以发动一次武器攻击或者徒手打击。你可以使用该附赠动作的次数等于你的感知调整值（最低为1），你在完成一次长休或短休后重新获得所有的使用次数。</t>
  </si>
  <si>
    <t>风暴降生</t>
  </si>
  <si>
    <t>你的瀚海之怒特性在激活时获得两项额外增益：
飞行Flight。你获得等于你的速度的飞行速度。
抗性Resistance。你获得对寒冷、闪电和雷鸣伤害的抗性。</t>
  </si>
  <si>
    <t>战争学者</t>
  </si>
  <si>
    <t>你选择一种工匠工具并获得其熟练。此外，你选择一项战士1级可用的技能，并获得该技能的熟练。</t>
  </si>
  <si>
    <t>四象神通</t>
  </si>
  <si>
    <t>当你处于元素同调特性激活期间，你在持续时间内获得以下增益：
伤害抗性Damage Resistance。你选择一种伤害类型：强酸，寒冷，火焰，闪电或雷鸣，你获得该伤害类型的抗性。你在每个你的回合开始时可以改变所选择的伤害类型。
破灭奔行Destructive Stride。当你使用疾步如风时，你的速度提升20尺，直至这个回合结束。在持续时间内，当你进入到某个生物5尺范围内的时候，你可以对其造成相当于你武艺骰的伤害，数量不限。此伤害的类型由你选择：强酸，寒冷，火焰，闪电或雷鸣。一个生物每回合只会受到一次此伤害。
真力注拳Empowered Strikes。每个你的回合一次，当你用徒手打击命中一个目标时，你可以对其造成相当于你武艺骰的额外伤害。此伤害的类型与此次徒手打击所造成的的伤害类型相同。</t>
  </si>
  <si>
    <t>守御灵光</t>
  </si>
  <si>
    <t>强大的远古魔法眷顾着你，以至于在你身边形成了一道神秘的结界，阻挡着来自物质位面外的能量；你和位于你守护灵光内的盟友获得对暗蚀，心灵以及光耀伤害的抗性。</t>
  </si>
  <si>
    <t>追猎如风</t>
  </si>
  <si>
    <t>你的恐惧打击造成的心灵伤害变为2d8。另外，当你使用恐惧伏击的恐惧打击特性时，你可以创造出以下的额外效应之一。
瞬杀Sudden Strike。你可以用同一把武器，对位于原目标5尺范围内的另一生物再发动一次攻击，新目标必须处于你武器的触及或射程内。
群慌Mass Fear。目标与位于目标10尺范围内的每个生物都必须通过一次对抗你法术豁免DC的感知豁免。若豁免失败，生物将会陷入恐慌状态，持续至你的下一回合开始。</t>
  </si>
  <si>
    <t>灵魂之刃</t>
  </si>
  <si>
    <t>你现在能能够通过念刃使用以下能力：
寻的斩击Homing Strikes。如果你在使用念刃进行攻击检定时没有命中目标，你可以掷一枚灵能骰，并将掷骰结果加到这次攻击检定中。如果这使攻击变为了命中，那枚灵能骰将被消耗。
心灵传送Psychic Teleportation。以一个附赠动作，你塑造一把念刃，消耗并投掷一枚灵能骰，将心灵之刃投掷到至多距离灵能骰结果数字十倍尺数的一处可见的未占据空间内。你传送到目标位置，同时那把念刃将消失。</t>
  </si>
  <si>
    <t>时械矩阵</t>
  </si>
  <si>
    <t>你召唤出秩序的精魂以抹除周遭的混乱。以一个魔法动作，你在以你为源点的30尺立方空间范围内召唤出一些精魂。这些精魂看起来像是魔冢或你选择的其他构装，其没有实体也无法被摧毁，并在消失前使立方范围内产生以下效应。此特性一经使用，直到完成一次长休前都不能再次使用。你也可以消耗7点术法点（无需动作）以恢复此特性的使用次数。
治愈Heal。精魂合计提供至多回复100生命值，由你随意分配给范围内任意数量的生物。
修复Repair。范围内损坏的物件将被立即修复。
破法Dispel。你选择范围内任意数量的生物或物件，其承受的任何六环或以下的法术结束。</t>
  </si>
  <si>
    <t>秘法回流</t>
  </si>
  <si>
    <t>你可以举行一道耗时1分钟的秘传仪式，并在仪式结束后恢复一半的已消耗的魔契师法术位（向上取整）。一旦你使用此特性，你都不能再这么做，直到你完成了一次长休。</t>
  </si>
  <si>
    <t>强化幻术</t>
  </si>
  <si>
    <t>你施展幻术学派法术时无需言语成分，且若你施展的幻术学派法术的施法距离不小于10尺，则其施法距离增加60尺。
你同时已知次级幻象Minor Illusion戏法。如果你已经已知了此戏法，则你习得另一道你选择的法师戏法。此戏法不计入你的已知戏法数。当你施展次级幻象时，可以在一次施法中同时创造出声音和影像，并且你能以一个附赠动作施展它。</t>
  </si>
  <si>
    <t>神之狂暴</t>
  </si>
  <si>
    <t>当你激活狂暴时，你可以呈现出圣斗士姿态。圣斗士姿态持续1分钟，且在你生命值降至0时提前结束。此特性一经使用，直至完成长休你都无法再次使用。
处于圣斗士姿态期间，你获得以下增益。 
飞翔Flight。你具有等于你速度的飞行速度，并且可以悬浮。
抗性Resistance。你具有对暗蚀、心灵和光耀伤害的抗性。
回春Revivification。当位于你30尺内的一名生物的生命值将要降至0时，你能够以反应消耗一次狂暴使用次数，令目标的生命值变为等于你野蛮人等级的值。</t>
  </si>
  <si>
    <t>战神祝福</t>
  </si>
  <si>
    <t>你可以使用你的引导神力来施展虔诚护盾Shield of Faith或者灵体武器Spiritual Weapon而无需消耗法术位。当你以这种方式施展其中任何一道法术时，该法术都不需要专注，且其持续时间变为1分钟，但会在你再次施展该法术、陷入失能状态或是死亡时提前结束。</t>
  </si>
  <si>
    <t>大洋慨赠</t>
  </si>
  <si>
    <t>当你使用瀚海之怒时，你可以让60尺内一个自愿生物而非你自己身上显现出光环。该生物获得光环的所有增益，并在特性中使用你的法术豁免DC和感知调整值。
此外，如果你消耗两次而非一次荒野变形使用次数，你可以同时在你自己和另一个生物身上显现出光环。</t>
  </si>
  <si>
    <t>料敌机先</t>
  </si>
  <si>
    <t>以一个附赠动作，你可以获知一名位于你30尺内你可见的生物的长处和短处。你知晓该生物是否具有抗性、免疫或易伤，若有，则你知晓其具体内容是什么。
此特性一经使用，直至完成长休你都无法再次使用。你也可以消耗1粒卓越骰（无需动作）重置该特性的使用权。</t>
  </si>
  <si>
    <t>散打技巧</t>
  </si>
  <si>
    <t>每当你疾风连击中的一次攻击命中一个生物时，你可以迫使其承受下列效应之一：
慌神Addle。目标直至他的下个回合开始不能使用借机攻击。
推离Push。目标必须成功通过一次力量豁免，否则被你推离15尺。
失衡Topple。 目标必须成功通过一次敏捷豁免，否则陷入倒地状态。</t>
  </si>
  <si>
    <t>不灭哨卫</t>
  </si>
  <si>
    <t>当你生命值降至0点，但尚未被直接杀死时，可以选择让你的生命值降到1点而不是0点，然后你再恢复相当于你圣武士等级三倍的生命值。你必须完成一次长休后才能再次使用该能力。
此外，你不会因为魔法效应而衰老，你的外表也会停止老去。</t>
  </si>
  <si>
    <t>如影随行</t>
  </si>
  <si>
    <t>当一个生物对你发动了一次攻击检定时，你能用反应对这次检定施加劣势。不管那次攻击命中或失手，你都能在那之后传送至你30尺范围内的一处未被占据的、你可见的空间。</t>
  </si>
  <si>
    <t>灵能面纱</t>
  </si>
  <si>
    <t>你可以编织一层灵能面纱来掩盖你。以一个魔法动作，你获得隐形状态持续至多1小时或直到你主动解除隐形（无需动作）。造成伤害或迫使一个生物进行豁免检定会导致隐形状态立刻结束。
此特性一经使用，直至完成长休你都无法再次使用。你也可以消耗一枚灵能骰（无需动作）重置该特性的使用权。</t>
  </si>
  <si>
    <t>龙族体魄</t>
  </si>
  <si>
    <t>魔法在你的体内流动，外化为龙族赠礼体现出的生理特质。你的生命值上限提升3，此后每提升一个术士等级，都将再次提升1。
你部分皮肤覆盖着龙鳞样式的柔鳞。未着装护甲时，你的基础AC等于10+你的敏捷调整值＋你的魅力调整值。</t>
  </si>
  <si>
    <t>魔契师子职</t>
  </si>
  <si>
    <t>你选择获得一项魔契师子职：至高妖精宗主，天界宗主，邪魔宗主或旧日支配者宗主。子职的内容见后文。子职是一种特化，在特定的魔契师等级给予你对应的独特能力。此后你将获得你所选的子职所有能力——只要其所需等级不超过你的魔契师等级。魔契师特性表列出了你从子职中获得新特性的魔契师等级。</t>
  </si>
  <si>
    <t>魅影生灵</t>
  </si>
  <si>
    <t>你总是准备了野兽召唤术Summon Beast和妖精召唤术Summon Fey。你施展其中任意一道法术时，可以选择将其学派变为幻术学派，这会使召唤出的生物变得虚幻。你可以不消耗法术位地施展这两道法术的幻术版本各一次，但无需法术位地施展这两道法术会使其召唤出的生物只有一半生命值。一旦你无需法术位地施展了其中任意一道法术，直至完成长休你都无法再以此法施展那道法术。</t>
  </si>
  <si>
    <t>战争化身</t>
  </si>
  <si>
    <t>你获得对钝击、穿刺、挥砍伤害的抗性。</t>
  </si>
  <si>
    <t>星图</t>
  </si>
  <si>
    <t>作为你天文学研究的一部分，你创造了一张星图。它是一个微型物体，可以用作你施展德鲁伊法术时的法器。你通过在星图列表上掷骰或选择一个来确定它的形态。
当你持握这件星图时，你视作总是准备着神导术Guidance和光导箭Guiding bolt这两个法术，并且你可以施展光导箭而无需消耗法术位。其次数等同于你的感知调整值（最小为1），当你完成一次长休时，你重获全部已消耗的使用次数。
如果你丢失了星图，你可以举行一场为时一小时的仪式来使用魔法创造一个替代品。这一仪式可以在一场短休或长休时举行，并会摧毁先前的星图。
星图 Star Map 
1d6 星图形态
1 一张布满星座图列的卷轴
2 一块钻有细孔的石板
3 一张枭熊皮，上面标有星星的符号
4 一套黑檀木封皮的星图集
5 一块遇光会投射出星辰轨迹的水晶
6 一面描绘星座排列的玻璃圆盘</t>
  </si>
  <si>
    <t>精通战技</t>
  </si>
  <si>
    <t>你的卓越骰变为d10。</t>
  </si>
  <si>
    <t>混元体</t>
  </si>
  <si>
    <t>你获得治愈己身的能力。你能够以一个附赠动作掷你的武艺骰。你恢复相当于掷骰结果+你的感知调整值数量的生命值（至少恢复1点生命值）。
你可以使用这个特性的次数相当于你的感知调整值（至少一次），在你完成一次长休时，你重获全部已消耗使用次数。</t>
  </si>
  <si>
    <t>上古斗士</t>
  </si>
  <si>
    <t>以一个附赠动作，你可以用原力盈满你的守护灵光，灵光获得下列的增益。持续1分钟或直到你将之提前结束（无需动作）。此特性一经使用，直至完成长休你都无法再次使用。你也可以消耗一个五环法术位（无需动作）重置该特性的使用权。
瓦解反抗Diminish Defiance。位于你灵光范围内的敌人在对抗你法术或引导神力选项的豁免上具有劣势。
复生Regeneration。你在每个自己的回合开始时，恢复10点生命值。
迅捷法术Swift Spells。每当你施展一道施法动作为1动作的法术时，你可以将其改为一个附赠动作施展。</t>
  </si>
  <si>
    <t>猎人学识</t>
  </si>
  <si>
    <t>你可以呼唤自然的力量以揭晓猎物的强弱。在一个生物被你的猎人印记标记的期间，你知道那个生物是否拥有任何免疫、抗性或易伤，并且能够得知其具体的项目是什么。</t>
  </si>
  <si>
    <t>撕裂心智</t>
  </si>
  <si>
    <t>你能让你的念刃直接切削一个生物的心智。当你使用念刃对一个生物造成偷袭攻击伤害时，你能迫使其进行一次感知豁免（DC=8+你的熟练加值+你的敏捷调整值）。若豁免失败，目标将在陷入长达一分钟的震慑。被震慑的目标可以在他的回合结束时重复豁免，如果成功这一效应将结束。
此特性一经使用，直至完成长休你都无法再次使用。你也可以消耗三枚灵能骰（无需动作）重置该特性的使用权。</t>
  </si>
  <si>
    <t>龙族法术</t>
  </si>
  <si>
    <t xml:space="preserve">当你到达龙族法术表中特定的术士等级时，你就始终准备了表中对应的法术。
龙族法术Draconic Spells 
术士等级 准备法术
3 繁彩球Chromatic Orb，命令术Command，龙息术Dragon’s Breath，变身术Alter Self， 
5 恐惧术Fear，飞行术Fly
7 秘法眼Arcane Eye，魅惑怪物Charm Monster 
9 通晓传奇Legend Lore，龙类召唤术Summon Dragon </t>
  </si>
  <si>
    <t>你获得属性值提升专长（见第五章）或其它你满足条件的专长。如魔契师特性 表所示，你还会在第8，第12，第16级时再次获得本特性。</t>
  </si>
  <si>
    <t>幻影化形</t>
  </si>
  <si>
    <t>当一名生物对你进行的一次攻击检定命中时，你可以使用你的反应在攻击者与你之间插入幻象分身。这次攻击对你自动失手，随后幻象分身消失。
此特性一经使用，直至完成长休你都无法再次使用。你也可以消耗一个二环或更高环阶的法术位（无需动作）重置该特性的使用权。</t>
  </si>
  <si>
    <t>星耀形态</t>
  </si>
  <si>
    <t>以一个附赠动作，你可以消耗一次荒野变形特性使用次数以呈现一个星耀形态，而非变化为野兽形态。
处于星耀形态期间，你保留你的游戏数据，但你的身体变得明亮；你的关节星光熠熠并有如星图一般由亮线连接。这一形态散发出10尺半径的明亮光照以及其外10尺的昏暗光照。这一形态持续10分钟。如果你解除它（无需动作）、失能、死亡、或再次使用此特性，它就会提前结束。
每当你化身星耀形态时，你选择以下在星座之一在你身上亮起；你的选择将为你在形态中提供特定的增益：
射手座Archer。 一个弓箭射手的星座于你身上浮现。当你激活这个形态时你可以进行一次远程法术攻击，对你60尺内的一个生物射出一发光箭，在形态持续的后续回合中你也能够以一个附赠动作如此做。命中时，此攻击将造成等同于1d8+你的感知调整值点的光耀伤害。
圣杯座Chalice。一个予命圣杯的星座于你身上浮现。当你消耗法术位施展一个为生物恢复生命值的法术时，你或你周围30尺内的另一生物可以恢复等同于 1d8+你的感知调整值点的生命值。
巨龙座Dragon。 一个智慧巨龙的星座于你身上浮现。当你进行一次智力或感知检定，或是进行一次体质豁免来维持法术专注时，你可以将d20 中9或以下的骰值视为10。</t>
  </si>
  <si>
    <t>坚韧</t>
  </si>
  <si>
    <t>每回合一次，当你使用一项战技时，你可以不消耗卓越骰，而是掷d8并使用结果作为代替。</t>
  </si>
  <si>
    <t>流星步</t>
  </si>
  <si>
    <t>当你使用疾步如风以外的附赠动作时，你可以在该附赠动作完成后立即使用疾步如风。</t>
  </si>
  <si>
    <t>复仇之誓法术</t>
  </si>
  <si>
    <t xml:space="preserve">你誓言具有的魔法使你始终准备了特定的法术。当你到达复仇之誓法术表中特定的圣武士等级时，你就始终准备了表中对应的法术。
复仇之誓法术Oath of Vengeance Spells 
圣武士等级 准备法术
3 灾祸术Bane，猎人印记Hunter's Mark 
5 定身类人hold person，迷踪步misty step 
9 加速术haste，防护能量伤害protection from energy 
13 放逐术banishment，任意门dimension door 
17 定身怪物hold monster，探知scrying </t>
  </si>
  <si>
    <t>猎杀技艺</t>
  </si>
  <si>
    <t>你选择并获得以下特性选项之一。当你完成一次短休或长休时，你可以将所选的选项替换为另一个。
巨像屠夫Colossus Slayer。你强而有力的攻击可以击倒最强壮的对手。当你用武器命中生物时，如果该敌人生命值不满，则该武器额外对目标造成1d8点伤害。你每回合只能造成一次这种额外伤害。
灭族者Horde Breaker。每个你的回合一次，当你用武器进行攻击时，你可以用该武器对位于目标5尺内的另一生物发动另一次攻击。额外攻击的目标必须处于你武器射程或范围内，且是你这回合没有攻击过的目标。</t>
  </si>
  <si>
    <t>快手</t>
  </si>
  <si>
    <t>你可以通过附赠动作来进行下列行为中的一个： 
巧手Sleight of Hand。进行一次敏捷（巧手）检定来利用盗贼工具解开一个锁或解除陷阱，或是使用这个检定进行扒窃。
使用物件Use an Object。执行利用动作，或是执行魔法动作来使用一个要求该动作的魔法物品。</t>
  </si>
  <si>
    <t>元素亲和</t>
  </si>
  <si>
    <t>你的龙族魔法与龙族相关的伤害类型有较强的亲和力。选择以下伤害类型之一：强酸、寒冷、火焰、闪电、或毒素。
你获得对所选伤害类型的抗性，且当你施放造成那种伤害的法术时，你可以将你的魅力 调整值加到那个法术的其中一次伤害掷骰中。</t>
  </si>
  <si>
    <t>联络宗主</t>
  </si>
  <si>
    <t>在过去，你通常需要通过各种渠道才能联络宗主。但现在，你可以直接联络宗主本身。你始终准备了法术异界探知Contact Other Plane 。你可以无需消耗法术位地以此特性来联络宗主，并自动通过该法术的豁免。
每当你以此方式施展了该法术，你都不能再这么做，直到你完成了一次长休。</t>
  </si>
  <si>
    <t>亦真亦幻</t>
  </si>
  <si>
    <t>你习得借由将暗影魔法编入你的幻术，从而使其获得半真实效果的秘密。当你用法术位施展一道幻术学派法术时，你能选择一个属于幻象一部分的非活化非魔法物件，并让该物件化作真实。你可以在法术持续过程中在自己的回合以一个附赠动作这样做。该物件将在接下来1分钟内保持真实，它在此期间无法造成伤害或赋予任何状态。例如，你可以创造一座横跨峡谷的桥梁幻象，而后将之化作真实，使你的队友能从桥上跨越峡谷。</t>
  </si>
  <si>
    <t>宇宙预兆</t>
  </si>
  <si>
    <t>每当你完成一次长休时，你可以参照你的星图来寻找预兆。此时，掷一枚骰子。直到你完成下一次长休为止，你获得一个基于此掷骰结果奇偶性的特殊反应能力。
吉兆Weal（偶数）。 当你周围30尺内的一个可见生物将要进行一次d20检定时，你可以使用你的反应来投一个d6，并将结果加入到检定结果中。
凶兆Woe（奇数）。 当你周围30尺内的一个可见生物将要进行一次d20检定时，你可以使用你的反应来投一个d6，并将结果从检定结果中减去。
你可以使用这一反应能力的次数等同于你的感知调整值（至少一次），在你完成一次长休后，你会重获所有已消耗的使用次数。</t>
  </si>
  <si>
    <t>究极战技</t>
  </si>
  <si>
    <t>你的卓越骰变为d12。</t>
  </si>
  <si>
    <t>渗透劲</t>
  </si>
  <si>
    <t>你获得了将内劲击入他人体内的能力。当你以徒手打击命中一个生物时，可以消耗4点功力打入暗劲，其持续相当于你武僧等级的天数。在你使用你的动作将之结束前，暗劲是无害的。此外，当你在自己的回合执行攻击动作时，你可以将其中一次攻击替换为这个动作使暗劲结束。若你如此做，你和目标必须处于同一个存在位面。
当你结束暗劲时，目标必须进行一次体质豁免，失败则受到10d12力场伤害，成功则只受到一半伤害。
在同一时间你只能用这个特性使一个生物处于此效应中。你可以结束某人身上的暗劲而不造成伤害（不需要动作）。</t>
  </si>
  <si>
    <t>仇敌誓言</t>
  </si>
  <si>
    <t xml:space="preserve">当你执行攻击动作时，你可以消耗一次你的引导神力次数，对一个你能看见的位于你30尺内的生物立下仇敌誓言。你在接下来1分钟内，对该生物的攻击检定具有优势。
如果在誓言结束前，该生物的生命值就降至0，你可以将誓言的目标换为另一个你可见的位于你30尺的生物（无需动作）。 </t>
  </si>
  <si>
    <t>防守战术</t>
  </si>
  <si>
    <t>你选择并获得以下特性选项之一。当你完成一次短休或长休时，你可以将所选的选项替换为另一个。
冲出重围Escape the Horde。对你发动的借机攻击具有劣势。
多重防御Multiattack Defense。当一个生物的攻击检定命中你时，该生物在本回合内对你进行的其他攻击检定具有劣势。</t>
  </si>
  <si>
    <t>梁上君子</t>
  </si>
  <si>
    <t>你的训练使你擅长抵达那些难以到达的地方。你获得以下增益： 
攀爬者Climber。你获得等同于你的速度的攀爬速度。
跳跃者Jumper。你的跳跃距离能由你的敏捷决定而不是你的力量决定。</t>
  </si>
  <si>
    <t>龙翼</t>
  </si>
  <si>
    <t>以一个附赠动作，你可以在背后张开一对龙翼。龙翼持续1小时，若你选择将其解散（无需动作）则会提前终止，在龙翼持续期间你获得60尺飞行速度。
此特性一经使用，直至完成长休你都无法再次使用。你也可以消耗3点术法点（无需动作）重置该特性的使用权。</t>
  </si>
  <si>
    <t>玄奥秘法</t>
  </si>
  <si>
    <t>你的宗主赋予你一种称为秘法的魔法奥秘。你可以选择一个六环的魔契师法术作为你的玄奥秘法。
你可以无需消耗法术位地施展该秘法，但你必须完成一次长休进行才能再次以这种方式施展秘法。
如魔契师特性表所示，当你获得更高的魔契师等级后，你将可以选择更多的魔契师法术来以这种方式施展：第13级时可选一个七环法术，15级时可选一个八环法术，17级时可选一个九环法术。完成一次长休后，所有消耗掉的秘法都会恢复。
每当你提升魔契师等级时，你都可以将一个秘法的法术替换为另一个同环魔契师法术。</t>
  </si>
  <si>
    <t>闪烁星座</t>
  </si>
  <si>
    <t>你的星耀形态星座增强了。射手座和圣杯座中的1d8都变成了2d8，而在巨龙座激活期间，你将获得20尺的飞行速度，并且可以悬浮。
此外，每个你的回合开始时，若此时你处于在星耀形态下，你可以更改当前身上闪耀的星座。</t>
  </si>
  <si>
    <t>精通重击</t>
  </si>
  <si>
    <t>你使用武器或徒手打击进行的攻击检定在d20中掷出19或20时即可造成重击。</t>
  </si>
  <si>
    <t>坚韧复仇</t>
  </si>
  <si>
    <t xml:space="preserve">你超自然的专注力使你可以拦截敌人撤退。你以借机攻击中命中一个生物时，可以将其速度降为0，直到当前回合结束为止。且你在该攻击后立刻移动至多相当于你速度一半的距离，本次移动是原反应的一部分，且不引发借机攻击。 </t>
  </si>
  <si>
    <t>高阶猎杀技艺</t>
  </si>
  <si>
    <t>每回合一次，当你对被你的猎人印记所标记的生物造成伤害时，你可以对位于这个生物30尺范围内的一个你能看见的另一名生物，同样施加由猎人印记造成的额外伤害。</t>
  </si>
  <si>
    <t>极效潜行</t>
  </si>
  <si>
    <t>你获得以下诡诈打击选项：
无声袭击Stealth Attack (花费：1d6)。如果你通过执行躲藏动作获得了隐形状态，并且你在结束回合时仍然处于四分之三掩护或是全身掩护之后，那么本次攻击不会导致这个状态结束。</t>
  </si>
  <si>
    <t>龙族伙伴</t>
  </si>
  <si>
    <t>你可以无需材料成分施放龙类召唤术Summon Dragon。你可以无需法术位施放它一次，随后你在完成一次长休后重获以此法施放它的能力。
你开始施放这一法术时，都可以微调这一法术使无需专注。以此法施展时，该法术的持续时间将变为1分钟。</t>
  </si>
  <si>
    <t>你获得一项传奇恩惠专长（见第5章）或其他一项你选择的适用的专长。推荐选择扭曲命运之恩惠Boon of Fate。</t>
  </si>
  <si>
    <t>灿若繁星</t>
  </si>
  <si>
    <t>处于星耀形态期间，你的身体部分无实质化，使你获得钝击、穿刺与挥砍伤害的抗性。</t>
  </si>
  <si>
    <t>运动健将</t>
  </si>
  <si>
    <t>得益于你平日的体育锻炼，你在先攻检定和力量（运动）检定中具有优势。
此外，当你造成一次重击时，你可立即移动至多等于你速度一半的距离，这次移动不会引发借机攻击。</t>
  </si>
  <si>
    <t>复仇之魂</t>
  </si>
  <si>
    <t xml:space="preserve">受你仇敌誓言影响的生物在发动一次攻击以后，无论是否命中，只要其位于你的触及内，你就能够立即以反应对其进行一次近战攻击。 </t>
  </si>
  <si>
    <t>高阶防守战术</t>
  </si>
  <si>
    <t xml:space="preserve">当你受到伤害时，你可以用你的反应使你获得对该伤害以及相同伤害类型的抗性, 直至当前回合结束。 </t>
  </si>
  <si>
    <t>使用魔法装置</t>
  </si>
  <si>
    <t>在你的寻宝历险生涯中，你学会了如何最大化利用魔法装置。你获得以下增益： 
同调Attunement。你可以一次性同调最多四件魔法物品。
充能Charges。每当你使用一个魔法物品的消耗充能的特性时，投一个d6，如果结果为6，本次使用不消耗充能。
卷轴Scrolls。你可以使用任何法术卷轴，并以智力作为你施展那个法术的施法关键属性。你可以稳定使用戏法或是一环的法术卷轴。如果这个法术卷轴记载了更高等级的法术，你必须通过一次成功的智力（奥秘）检定（DC为10+该法术的等级）。检定成功时，你能够使用卷轴施展该法术。如果失败，卷轴化为尘埃。</t>
  </si>
  <si>
    <t>狂野魔法浪涌</t>
  </si>
  <si>
    <t>你施法时会释放出未经塑造的魔法浪涌。一回合一次，你每次施展一个不低于一环的术士法术后，可以立刻骰一次d20。如果你骰出20，则在狂野魔法浪涌表上掷骰以确定随机魔法效应。
若该效果是一道法术，则其因过于狂野而无法受你的超魔法影响。</t>
  </si>
  <si>
    <t>魔能掌控</t>
  </si>
  <si>
    <t>当你使用秘法回流 特性时，你改为恢复全部消耗的魔契师法术位。</t>
  </si>
  <si>
    <t>额外战斗风格</t>
  </si>
  <si>
    <t>你获得另一个自选的战斗风格专长。</t>
  </si>
  <si>
    <t>复仇天使</t>
  </si>
  <si>
    <t>以一个附赠动作，你可获得下列的增益。持续10分钟或直到你将之提前结束（无需动作）。此特性一经使用，直至完成长休你都无法再次使用。你也可以消耗一个五环法术位（无需动作）重置该特性的使用权。
飞行 Flight。你的背后生出灵体双翼，获得60尺的飞行速度，并且可以悬浮。
恐惧灵光 Frightful Aura。每个在灵光范围内开始其回合的敌人，必须成功通过一个感知豁免，否则将陷入恐慌状态1分钟，或直到其受到伤害。此外，对被恐慌生物发动的攻击检定具有优势。</t>
  </si>
  <si>
    <t>窃盗本能</t>
  </si>
  <si>
    <t>你变的更加擅长伏击和快速脱离险境。每次战斗的第一轮里，你可以行动两个回合。你先以自己正常的先攻执行你的第一个回合的行动，再以先攻数值减10的先攻执行你的第二个回合的行动。</t>
  </si>
  <si>
    <t>混乱之潮</t>
  </si>
  <si>
    <t>你可以驾驭机运的力量，以使一次D20检定具有优势。你必须在掷出d20之前决定是否使用此特性。此特性一经使用，直到你使用法术位施放一道术士法术、或完成一次长休后才能再次使用。
如果你在完成一次长休前使用法术位施放了一道术士法术，则你自动于狂野魔法浪涌表上掷骰。</t>
  </si>
  <si>
    <t>至高妖精法术</t>
  </si>
  <si>
    <t xml:space="preserve">宗主赐予的魔法使你始终准备了特定的法术。当你到达至高妖精法术表中特定的魔契师等级时，你就始终准备了表中对应的法术。
至高妖精法术 Archfey Spells 
魔契师等级 法术 
3 妖火Faerie Fire， 睡眠术Sleep，安定心神Calm Emotions，迷踪步Misty Step，魅影之力Phantasmal Force 
5 闪现术Blink，植物滋长Plant Growth 
7 支配野兽Dominate Beast， 高等隐形术Greater Invisibility 
9 支配人类Dominate Person， 伪装术Seeming </t>
  </si>
  <si>
    <t>勇战英豪</t>
  </si>
  <si>
    <t>战斗的艰难只会使你朝胜利更进一步。在战斗中，若你回合开始时没有英雄激励，你可以获得之。</t>
  </si>
  <si>
    <t>扭曲幸运</t>
  </si>
  <si>
    <t>你获得用你的狂野魔法扭曲命运的能力。当一个你能看见的生物投掷d20进行D20检定时，你可以在掷骰完成之后立即用一个反应并消耗1术法点来骰一次1d4，并将结果用作加值或减值（由你决定）加到该d20的骰值结果中。</t>
  </si>
  <si>
    <t>妖精步伐</t>
  </si>
  <si>
    <t>你的宗主授予你在位面的边界之间穿行的能力。你可以无需消耗法术位地施展迷踪步Misty Step，次数等于你的魅力调整值（至少1次），并在完成一次长休时重获所有已消耗的次数。
此外，每当你施展该法术时，你都可以选择造成下列额外效应之一：
复苏步伐Refreshing Step。在你传送之后，你或一个你可见的位于你10尺内的生物立刻获得1d10临时生命值。
嘲弄步伐Taunting Step。位于你传送前的空间5尺内的生物必须成功通过一次对抗你法术豁免DC的感知豁免，否则其在对除你之外的生物发动攻击检定时具有劣势，直至你的下一回合开始。</t>
  </si>
  <si>
    <t>高效重击</t>
  </si>
  <si>
    <t>你使用武器或徒手打击进行的攻击检定在d20中掷出18-20时即可造成重击。</t>
  </si>
  <si>
    <t>受控混沌</t>
  </si>
  <si>
    <t>你获得了对狂野魔法涌动的些微掌控。你每次骰狂野魔法浪涌表时，可以骰两次再自选其一生效。</t>
  </si>
  <si>
    <t>雾遁</t>
  </si>
  <si>
    <t>当你受到伤害时，你可以用反应施展迷踪步Misty Step。
此外，你的妖精步伐获得以下选项。
无踪步伐Disappearing Step。你获得隐形状态，持续到你的下一回合开始或你进行攻击检定、造成伤害、或是施展一道法术之后。
惊惧步伐Dreadful Step。位于你传送前或传送后的空间（由你选择）5尺内的生物必须进行一次对抗你法术豁免DC的感知豁免，豁免失败则受到2d10心灵伤害。</t>
  </si>
  <si>
    <t>百折不挠</t>
  </si>
  <si>
    <t>你持续战斗的能力达到巅峰，赋予了你以下好处：
蔑视死亡Defy Death。你进行死亡豁免时具有优势。此外，若你在死亡豁免上投出了18~20时，都会获得相当于投出20的好处。
英气风发Heroic Rally。你每回合开始时，若你已浴血且拥有至少1点生命值，你恢复相当于5＋你的体质调整值的生命值。</t>
  </si>
  <si>
    <t>驯服浪涌</t>
  </si>
  <si>
    <t>你使用法术位施放一道术士法术之后，可以立即创造一种从狂野魔法浪涌表中选择的效应而非在其上掷骰。你可以选择表中任何除了最后一行的效应，且如果你选择的效应包含掷骰，则你必须掷骰。
此特性一经使用，直至完成长休你都无法再次使用。</t>
  </si>
  <si>
    <t>斗转星移</t>
  </si>
  <si>
    <t>你的宗主教会了你如何保护自己的心和身。你获得对魅惑状态的免疫。
此外，当一个你能看见的敌人的攻击检定命中你后，你可以立刻使用反应令该次攻击的伤害减半（向下取整），且你可以迫使攻击者进行一次对抗你法术豁免DC的感知豁免，豁免失败则会受到一定的心灵伤害，具体数值等同于你本次承受的实际伤害。一旦你使用了此反应，你就不能再使用它，直到你完成一次长休或是消耗一枚契约魔法 特性的法术位（无需动作）来恢复其使用次数。</t>
  </si>
  <si>
    <t>施法Spellcasting</t>
  </si>
  <si>
    <t>你学会了如何施展法术。施法规则见第七章。下文将详述如何将这些规则应用于奥法骑士。</t>
  </si>
  <si>
    <t>醉心魔法</t>
  </si>
  <si>
    <t>你的宗主赋予你将魔法与传送之力编织在一起的能力。当你以一个动作消耗法术位施展一道幻术或惑控法术时，你可以无需法术位地立刻施展迷踪步Misty Step 作为该动作的一部分。</t>
  </si>
  <si>
    <t>你已知两道你选择的法师戏法。推荐选择冷冻射线Ray of Frost和电爪Shocking Grasp。
每当你获得一个战士等级时，你都能从此特性的戏法中选择其一替换为另一道你所选择的法师戏法。
当你的战士等级到达10级时，你能另选一道法师戏法并习得。</t>
  </si>
  <si>
    <t>天界法术</t>
  </si>
  <si>
    <t xml:space="preserve">宗主赐予的魔法使你始终准备了特定的法术。当你到达天界法术表中特定的魔契师等级时，你就始终准备了表中对应的法术。
天界法术Celestial Spells 
魔契师等级 法术
3 光亮术Light，援助术Aid，疗伤术Cure Wounds，光导箭Guiding Bolt，次等复原术Lesser Restoration，圣火术Sacred Flame 
5 昼明术Blight，回生术Revivify
7 信仰守卫Guardian of Faith，火墙术Wall of Fire 
9 高等复原术Greater Restoration，天界召唤术Summon Celestial </t>
  </si>
  <si>
    <t>奥法骑士施法表显示了你可用于施展一环及以上法术的法术位数量。你在完成一次长休时恢复所有已消耗的法术位。</t>
  </si>
  <si>
    <t>治愈之光</t>
  </si>
  <si>
    <t>你获得了引导天界能量以治愈伤口的能力。它是一个有着1+你的魔契师等级枚d6骰的骰池，用以施展你的治愈能力。
以一个附赠动作，你可以消耗骰池中的任意数量的骰子，来治疗你自己或一个你可见的位于你60尺内的生物。每次你能消耗的最大骰子数量等同于你的魅力调整值枚（至少1枚）。投掷你消耗的全部骰子，这些骰值相加的总值即为所能恢复的生命值。
当你完成一次长休时，你的骰池将重获所有已消耗的骰子。</t>
  </si>
  <si>
    <t>你准备可供你以此特性施展的一环及更高环阶的法术列表。为此，选择2道来自法师法术列表的法术。推荐选择燃烧之手Burning Hands、跳跃术Jump和护盾术Shield。
已准备法术数量会随你战士等级的提升而增加，如奥法骑士施法表中的准备法术一列所示。每当这一列的数字增加时，从法师法术列表中选择额外法术准备，直至已准备法术的数量与表格中的数字一致。你所选择法术的环阶必须是你所拥有法术位对应的环阶。
例如，如果你是一位7级战士，则你的准备法术列表能包括五道一环或二环的法师法术，随意组合。</t>
  </si>
  <si>
    <t>光耀之魂</t>
  </si>
  <si>
    <t>你与你天界宗主的链接允许你成为光耀能量的渠道。你获得对光耀伤害的抗性。每回合一次，当一个你施展的法术造成光耀伤害或火焰伤害时，你可以将你的魅力调整值加到该法术对其中一个目标所造成的伤害上。</t>
  </si>
  <si>
    <t>每当你获得一个战士等级，就可以将你准备列表上的一道法术替换为另一道法师法术，你必须拥有替换后法术对应环阶的法术位才可以替换。</t>
  </si>
  <si>
    <t>天界韧性</t>
  </si>
  <si>
    <t>每当你使用秘法回流，或是完成一次短休或长休后，你都会获得一定的临时生命值。其数值等于你的魔契师等级+你的魅力调整值。此外，在你获得该临时生命值时，你还可以选择至多五个你可见的生物。这些生物也会获得等同于你魔契师等级的一半+你的魅力调整值点临时生命值。</t>
  </si>
  <si>
    <t>灼光复仇</t>
  </si>
  <si>
    <t>当你或60尺内的一个盟友将要进行一次死亡豁免时，你可以释放出一道光能来拯救那个生物。该生物恢复等于其生命值上限一半的生命值，且可以选择结束自身的倒地状态。之后，每个由你选择的位于该生物30尺内生物的都将受到2d8+你的魅力调整值点的光耀伤害，并陷入目盲状态直至当前回合结束。
此特性一经使用，直至完成长休你都无法再次使用。</t>
  </si>
  <si>
    <t>你可以使用奥术法器作为你法师法术的施法法器。</t>
  </si>
  <si>
    <t>邪魔法术</t>
  </si>
  <si>
    <t xml:space="preserve">宗主赐予的魔法使你始终准备了特定的法术。当你到达邪魔法术表中特定的魔契师等级时，你就始终准备了表中对应的法术。
邪魔法术Fiend Spells 
魔契师等级 法术
3 燃烧之手Burning Hands，命令术Command，灼热射线Scorching Ray，暗示术Suggestion 
5 火球术Fireball，臭云术Stinking Cloud 
7 火焰护盾Fire Shield，火墙术Wall of Fire 
9 指使术Geas，疫病虫群Insect Plague </t>
  </si>
  <si>
    <t>战争联结</t>
  </si>
  <si>
    <t>你习得一种让你和你的武器建立魔法联结的仪式。你执行持续一小时的仪式，且可在短休时进行。整个仪式过程中武器必须在你的触及范围内，直至仪式结束前，该武器必须一直在你触手可及的范围内，以完成联结。若该武器已与另一名战士建立联结，或是一把已被他人同调的魔法物品，仪式则会失败。
联结建立后，只要你不处于失能状态，使用联结武器时就不会被缴械。如果联结武器与你处于同一位面，则你可以用一个附赠动作使其立即传送到你手中。
你至多可以拥有两把建立联结的武器，但一个附赠动作只能召唤一把武器。如果你试图和第三把武器建立联结，则必须与已经联结的两把武器其中的一把取消联结。</t>
  </si>
  <si>
    <t>黑暗赐福</t>
  </si>
  <si>
    <t>当你将一个敌人的生命值降至0时，你获得等同于你的魅力调整值＋你的魔契师等级的临时生命值（最低为1）。而若其它人将一个位于你10尺内的你的敌人的生命值降至0时，你也会获得此收益。</t>
  </si>
  <si>
    <t>战争魔法</t>
  </si>
  <si>
    <t>当你在自己回合执行攻击动作时，你可以将其中一次攻击替换为施展一道施法时间为一作的你已知的法师戏法。</t>
  </si>
  <si>
    <t>黑暗强运</t>
  </si>
  <si>
    <t>你可以呼唤你的宗主将命运改写为对你有利的方向。当你进行属性检定或豁免检定时，你可以使用该特性为此次掷骰增添一个d10骰。你可在看到掷骰结果后，其结果生效前使用该特性。
你可以使用此特性的次数等于你的魅力调整值（至少一次），但你在一次检定中只能使用此特性一次。你在完成一次长休后恢复所有已消耗的次数。</t>
  </si>
  <si>
    <t>奥法打击</t>
  </si>
  <si>
    <t>你习得用武器攻击削弱敌人对你法术抵抗能力的方法。当你使用一把武器命中一个生物后，直到你的下个回合结束为止，该生物在对抗你法术所进行的下一次豁免检定中具有劣势。</t>
  </si>
  <si>
    <t>邪魔体魄</t>
  </si>
  <si>
    <t>当你完成一次短休或长休时，选择一种除力场伤害之外的伤害类型。直到你以此特性选择另外一种伤害类型之前，你都拥有对于所选伤害类型的抗性。</t>
  </si>
  <si>
    <t>奥能冲锋</t>
  </si>
  <si>
    <t>你可以在使用动作如潮时传送至多30尺至一个你能看到的未被占据的空间。你可以在使用动作如潮提供的额外动作之前或之后进行传送。</t>
  </si>
  <si>
    <t>直坠噩梦</t>
  </si>
  <si>
    <t>每回合一次，当你以攻击检定命中一个生物时，你可以将目标瞬间传送并拉入下层位面。目标必须进行一次对抗你法术豁免DC的魅力豁免，豁免失败则该生物立刻消失并坠入如同噩梦一般的景色中。若目标并非邪魔，则它会受到8d10点心灵伤害。目标还会陷入失能状态直至你的下一回合结束，此时目标返回先前所占据的空间、或是最近的未被占据空间。
此特性一经使用，直至完成长休你都无法再次使用。你也可以消耗一个契约魔法特性的法术位（无需动作）重置该特性的使用权。</t>
  </si>
  <si>
    <t>精通战争魔法</t>
  </si>
  <si>
    <t>当你在自己回合执行攻击动作时，你可以将其中两次攻击替换为施展一道施放时间为1动作，你的一或二环法师法术。</t>
  </si>
  <si>
    <t>旧日支配者法术</t>
  </si>
  <si>
    <t xml:space="preserve">宗主赐予的魔法使你始终准备了特定的法术。当你到达旧日支配者法术 表中特定的魔契师等级时，你就始终准备了表中对应的法术。
旧日支配者法术Great Old One Spells 
魔契师等级 法术
3 不谐低语Dissonant Whisper，塔莎狂笑术Tasha’s Hideous Laughter，魅影之力Phantasmal Force，侦测思想Detect Thoughts 
5 鹰眼术Clairvoyance，哈达之欲Hunger of Hadar 
7 困惑术Confusion，异怪召唤术Summon Aberration 
9 篡改记忆Modify Memory，心灵遥控Telekinesis </t>
  </si>
  <si>
    <t>你内心拥有一个灵能力量的源泉。这股能量表现为灵能骰，它是你从此子职中获得的可消耗能力。灵能武士灵能骰表展示了你在达到特定战士等级后的灵能骰大小与数量。
战士等级 骰面 数量
3 D6 4
5 D8 6
9 D8 8
11 D10 8
13 D10 10
此子职中所有需要使用灵能骰的特性只能使用你从该子职获得的灵能骰。你在使用某些能力时需要消耗灵能骰，如异能描述中所述，如果某个异能在你的灵能骰全部消耗完后还需要你使用一个灵能骰，你就不能使用该异能。
你可以在完成短休时重获一枚已消耗的灵能骰，完成长休时重获所有已消耗的灵能骰。
庇护力场Protective Field。当你或者另一个位于你30尺内的你可见的生物受到伤害时，你可以执行一个反应来消耗一枚灵能骰，对其降低等同于灵能骰骰出的数值加你的智力调整值的伤害（最少1点），如同你创造了一面瞬间的念力盾牌。
灵能打击Psionic Strike。你可以用灵能驱动你的武器。每个你的回合一次，当你用武器命中并对位于你30尺范围内的目标造成伤害时，你可以立即消耗一枚灵能骰，对目标造成等同于灵能骰骰出的数值加你的智力调整值的力场伤害。
念力控物Telekinetic Movement。你可以用意念移动一个物体或生物。以一个魔法动作，你选中一个除你以外的自愿生物或一个至多大型的未固定物件。如果你可以看见目标且目标在你30尺范围内，你就可以将其移动至多30尺至另一个对你可见的未占据空间内。另外，如果目标是一个微型物件，你可以自由给出或收回手中。
此异能一经使用，直至完成短休或长休你都无法再次使用。你也可以消耗一枚灵能骰（无需动作）重置该异能的使用权。</t>
  </si>
  <si>
    <t>唤醒心灵</t>
  </si>
  <si>
    <t>你的心灵可以与其它心灵建立感应联系。以一个附赠动作，你指定一个位于你30尺内的可见生物并创造一道心灵连结。当你与目标相距不超过等于你魅力调整值（至少1英里）的英里数时，你们便可以互相用心灵感应交谈。为了理解彼此，你们都必须在心灵交流中使用一种对方具有的语言。
这道心灵连结持续等于你魔契师等级的分钟。它也会在你使用此特性形成另一道心灵连结时提前结束。</t>
  </si>
  <si>
    <t>念力精通</t>
  </si>
  <si>
    <t>你已经掌握了使用念力异能的新方式，如下所示。
灵力跃动Psi—Powered Leap。以一个附赠动作，你获得等同于两倍速度的飞行速度，直到本回合结束为止。一旦你执行了此附赠动作，直到你完成一次短休或长休为止你都不能再次使用它。你也可以消耗一枚灵能骰（无需动作）来再次使用该异能。
念力突刺Telekinetic Thrust。当你使用灵能打击对一个目标造成伤害时，你可以迫使目标进行一次力量豁免（DC等于8+你的智力调整值+你的熟练加值）。如果豁免失败，你可以使目标陷入倒地状态或者将其在任意方向水平移动至多10尺。</t>
  </si>
  <si>
    <t>心灵法术</t>
  </si>
  <si>
    <t>当你施展一道造成伤害的魔契师法术时，你可以将其伤害类型改为心灵伤害。此外，当你施展一道惑控或幻术学派的魔契师法术时，你不需要声音和姿势成分。</t>
  </si>
  <si>
    <t>意念守护</t>
  </si>
  <si>
    <t>你获得心灵伤害的抗性。此外，如果你在你的回合开始时处于魅惑或者恐慌状态，你可以消耗一个灵能骰（无需动作）并结束自己身上全部造成这些状态的效应。</t>
  </si>
  <si>
    <t>锐眼斗士</t>
  </si>
  <si>
    <t>当你用唤醒心灵与一个生物形成心灵连结时，你可以迫使对方进行一次对抗你法术豁免DC的感知豁免。若豁免失败，则该生物在连结期间对你进行的攻击检定具有劣势，而你对它进行的攻击检定具有优势。
此特性一经使用，直至完成短休或长休你都无法再次使用。你也可以消耗一个契约魔法 特性的法术位（无需动作）来重置该特性的使用权。</t>
  </si>
  <si>
    <t>力场壁垒</t>
  </si>
  <si>
    <t>你可以使用念力庇护你自己和其他人。以一个附赠动作，包括你在内，你可以选择数个位于你30尺范围内的生物，其数量等同于你的智力调整值（最少1个）。每个被选中的生物将在1分钟内视为处于半身掩护中，该保护将会在你陷入失能状态时提前结束。
此特性一经使用，直至完成长休你都无法再次使用。你也可以消耗一枚灵能骰（无需动作）重置该特性的使用权。</t>
  </si>
  <si>
    <t>骇异恶咒</t>
  </si>
  <si>
    <t>你的异界宗主给予你强大的诅咒之力。你始终准备了脆弱诅咒Hex法术。当你施展脆弱诅咒Hex并选择了一项属性时，目标在法术持续时间内还会在以这项属性进行的豁免上具有劣势。</t>
  </si>
  <si>
    <t>念力宗师</t>
  </si>
  <si>
    <t>你总是准备了心灵遥控Telekinesis法术，你可以在无需任何法术成分和法术位的情况下使用它，你施展这一法术的施法属性为智力。在每一个你对该法术维持专注的回合，包括你施放它的回合，你都能够以一个附赠动作使用一把武器发动一次攻击。
一旦你以此特性施展该法术，直至完成长休你都无法再如此做。你也可以消耗一枚灵能骰（无需动作）重置该法术的施展。</t>
  </si>
  <si>
    <t>思维之盾</t>
  </si>
  <si>
    <t>除非获得你的允许，否则你的思维无法被心灵感应或者其他手段阅读。此外你还具有对心灵伤害的抗性，且每当一个生物对你造成心灵伤害时，该生物将受到与你承受的同等的伤害。</t>
  </si>
  <si>
    <t>创造奴仆</t>
  </si>
  <si>
    <t>当你施展异怪召唤术Summon Aberration时，你可以微调这一法术使其无需专注。以无需专注的方式施展时，该法术的持续时间将变为一分钟，且召唤来的异怪拥有等于你魔契师等级+你的魅力调整值的临时生命值。
此外，该异怪在每个回合中第一次命中一个被你的脆弱诅咒Hex影响的生物时，该异怪会对目标额外造成等于该法术的附加伤害的心灵伤害。</t>
  </si>
  <si>
    <t>弹药重量</t>
  </si>
  <si>
    <t>集束重量</t>
  </si>
  <si>
    <t>集束数量</t>
  </si>
  <si>
    <t>总重量→</t>
  </si>
  <si>
    <t>伤害</t>
  </si>
  <si>
    <t>词条</t>
  </si>
  <si>
    <t>装备名称</t>
  </si>
  <si>
    <t>装备特性</t>
  </si>
  <si>
    <t>命中检定</t>
  </si>
  <si>
    <t>伤害加值</t>
  </si>
  <si>
    <t>箭arrows(20)</t>
  </si>
  <si>
    <t>弩矢crossbowbolts(20)</t>
  </si>
  <si>
    <t>徒手打击</t>
  </si>
  <si>
    <t>钝击</t>
  </si>
  <si>
    <t>子弹</t>
  </si>
  <si>
    <t xml:space="preserve">简易近战武器 Simple Melee Weapons </t>
  </si>
  <si>
    <t>短棒</t>
  </si>
  <si>
    <t>1d4</t>
  </si>
  <si>
    <t>轻型</t>
  </si>
  <si>
    <t>缓速</t>
  </si>
  <si>
    <t>1 SP</t>
  </si>
  <si>
    <t>投石索弹丸slingbullets(20)</t>
  </si>
  <si>
    <t>匕首</t>
  </si>
  <si>
    <t>穿刺</t>
  </si>
  <si>
    <t>灵巧，轻型，投掷（射程 20/60）</t>
  </si>
  <si>
    <t>迅击</t>
  </si>
  <si>
    <t>2 GP</t>
  </si>
  <si>
    <t>吹矢blowgunneedles(50)</t>
  </si>
  <si>
    <t>巨棒</t>
  </si>
  <si>
    <t>双手</t>
  </si>
  <si>
    <t>推离</t>
  </si>
  <si>
    <t>2 SP</t>
  </si>
  <si>
    <t>手斧</t>
  </si>
  <si>
    <t>挥砍</t>
  </si>
  <si>
    <t>轻型，投掷（射程 20/60）</t>
  </si>
  <si>
    <t>侵扰</t>
  </si>
  <si>
    <t>5 GP</t>
  </si>
  <si>
    <t>标枪</t>
  </si>
  <si>
    <t>投掷（射程 30/120）</t>
  </si>
  <si>
    <t>5 SP</t>
  </si>
  <si>
    <t>轻锤</t>
  </si>
  <si>
    <t>全头</t>
  </si>
  <si>
    <t>硬头锤</t>
  </si>
  <si>
    <t>—</t>
  </si>
  <si>
    <t>削弱</t>
  </si>
  <si>
    <t>头部</t>
  </si>
  <si>
    <t>长棍</t>
  </si>
  <si>
    <t>多用（1d8）</t>
  </si>
  <si>
    <t>失衡</t>
  </si>
  <si>
    <t>武器命中</t>
  </si>
  <si>
    <t>武器伤害</t>
  </si>
  <si>
    <t>头发</t>
  </si>
  <si>
    <t>重型</t>
  </si>
  <si>
    <t>镰刀</t>
  </si>
  <si>
    <t>1 GP</t>
  </si>
  <si>
    <t>面部</t>
  </si>
  <si>
    <t>矛</t>
  </si>
  <si>
    <t>投掷（射程 20/60），多用（1d8）</t>
  </si>
  <si>
    <t>颈部</t>
  </si>
  <si>
    <t>简易远程武器 Simple Ranged Weapons</t>
  </si>
  <si>
    <t>飞镖</t>
  </si>
  <si>
    <t>灵巧，投掷（射程 20/60）</t>
  </si>
  <si>
    <t>5 CP</t>
  </si>
  <si>
    <t>身体</t>
  </si>
  <si>
    <t>轻弩</t>
  </si>
  <si>
    <t>弹药（射程 80/320；弩矢），装填，双手</t>
  </si>
  <si>
    <t>25 GP</t>
  </si>
  <si>
    <t>肩膀</t>
  </si>
  <si>
    <t>短弓</t>
  </si>
  <si>
    <t>弹药（射程 80/320；箭矢），双手</t>
  </si>
  <si>
    <t>胸前</t>
  </si>
  <si>
    <t>冷冻</t>
  </si>
  <si>
    <t>投石索</t>
  </si>
  <si>
    <t>弹药（射程 30/120；子弹）</t>
  </si>
  <si>
    <t>背后</t>
  </si>
  <si>
    <t>火焰</t>
  </si>
  <si>
    <t>军用近战武器 Matial Melee Weapons</t>
  </si>
  <si>
    <t>战斧</t>
  </si>
  <si>
    <t>多用（1d10）</t>
  </si>
  <si>
    <t>10 GP</t>
  </si>
  <si>
    <t>腰部</t>
  </si>
  <si>
    <t>闪电</t>
  </si>
  <si>
    <t>链枷</t>
  </si>
  <si>
    <t>胯间</t>
  </si>
  <si>
    <t>力场</t>
  </si>
  <si>
    <t>长柄刀</t>
  </si>
  <si>
    <t>重型，触及，双手</t>
  </si>
  <si>
    <t>擦掠</t>
  </si>
  <si>
    <t>20 GP</t>
  </si>
  <si>
    <t>护甲名称</t>
  </si>
  <si>
    <t>护甲类型</t>
  </si>
  <si>
    <t>左脚</t>
  </si>
  <si>
    <t>光耀</t>
  </si>
  <si>
    <t>巨斧</t>
  </si>
  <si>
    <t>重型，双手</t>
  </si>
  <si>
    <t>横扫</t>
  </si>
  <si>
    <t>30 GP</t>
  </si>
  <si>
    <t>右脚</t>
  </si>
  <si>
    <t>黯蚀</t>
  </si>
  <si>
    <t>√</t>
  </si>
  <si>
    <t>巨剑</t>
  </si>
  <si>
    <t>2d6</t>
  </si>
  <si>
    <t>50 GP</t>
  </si>
  <si>
    <t>法师护甲</t>
  </si>
  <si>
    <t>双脚</t>
  </si>
  <si>
    <t>毒素</t>
  </si>
  <si>
    <t>戟</t>
  </si>
  <si>
    <t>10+感知调整值+敏捷调整值</t>
  </si>
  <si>
    <t>左腿</t>
  </si>
  <si>
    <t>心灵</t>
  </si>
  <si>
    <t>骑枪</t>
  </si>
  <si>
    <t>重型，触及，双手（骑乘时除外）</t>
  </si>
  <si>
    <t>10+体质调整值+敏捷调整值</t>
  </si>
  <si>
    <t>右腿</t>
  </si>
  <si>
    <t>雷呜</t>
  </si>
  <si>
    <t>长剑</t>
  </si>
  <si>
    <t>15 GP</t>
  </si>
  <si>
    <t>舞蹈诗</t>
  </si>
  <si>
    <t>双腿</t>
  </si>
  <si>
    <t>巨锤</t>
  </si>
  <si>
    <t xml:space="preserve">—— </t>
  </si>
  <si>
    <t>左手</t>
  </si>
  <si>
    <t>钉头锤</t>
  </si>
  <si>
    <t>布甲</t>
  </si>
  <si>
    <t>隐匿劣势</t>
  </si>
  <si>
    <t>右手</t>
  </si>
  <si>
    <t>长矛</t>
  </si>
  <si>
    <t>皮甲</t>
  </si>
  <si>
    <t>刺剑</t>
  </si>
  <si>
    <t>灵巧</t>
  </si>
  <si>
    <t>镶钉皮甲</t>
  </si>
  <si>
    <t>左臂</t>
  </si>
  <si>
    <t>弯刀</t>
  </si>
  <si>
    <t>灵巧，轻型</t>
  </si>
  <si>
    <t>——</t>
  </si>
  <si>
    <t>右臂</t>
  </si>
  <si>
    <t>短剑</t>
  </si>
  <si>
    <t>兽皮甲</t>
  </si>
  <si>
    <t>双臂</t>
  </si>
  <si>
    <t>三叉戟</t>
  </si>
  <si>
    <t>投掷（射程 20/60），多用（1d10）</t>
  </si>
  <si>
    <t>链甲衫</t>
  </si>
  <si>
    <t>全身</t>
  </si>
  <si>
    <t>战镐</t>
  </si>
  <si>
    <t>鳞甲</t>
  </si>
  <si>
    <t>战锤</t>
  </si>
  <si>
    <t>胸甲</t>
  </si>
  <si>
    <t>鞭</t>
  </si>
  <si>
    <t>灵巧，触及</t>
  </si>
  <si>
    <t>半身板甲</t>
  </si>
  <si>
    <t>军用远程武器 Matial Ranged Weapons</t>
  </si>
  <si>
    <t>吹箭筒</t>
  </si>
  <si>
    <t>弹药（射程 25/100；吹矢），装填</t>
  </si>
  <si>
    <t xml:space="preserve">——  </t>
  </si>
  <si>
    <t>手弩</t>
  </si>
  <si>
    <t>弹药（射程 30/120；弩矢），轻型，装填</t>
  </si>
  <si>
    <t>75 GP</t>
  </si>
  <si>
    <t>环甲</t>
  </si>
  <si>
    <t>重弩</t>
  </si>
  <si>
    <t>弹药（射程 100/400；弩矢），重型，装填，双手</t>
  </si>
  <si>
    <t>链甲</t>
  </si>
  <si>
    <t>隐匿劣势，力量需求13</t>
  </si>
  <si>
    <t>长弓</t>
  </si>
  <si>
    <t>弹药（射程 150/600；箭矢），重型，双手</t>
  </si>
  <si>
    <t>板条甲</t>
  </si>
  <si>
    <t>隐匿劣势，力量需求15</t>
  </si>
  <si>
    <t>火铳</t>
  </si>
  <si>
    <t>弹药（射程 40/120；子弹），装填，双手</t>
  </si>
  <si>
    <t>500 GP</t>
  </si>
  <si>
    <t>板甲</t>
  </si>
  <si>
    <t>手铳</t>
  </si>
  <si>
    <t>弹药（射程 30/90；子弹），装填</t>
  </si>
  <si>
    <t>250 GP</t>
  </si>
  <si>
    <t>行</t>
  </si>
  <si>
    <t>最小列</t>
  </si>
  <si>
    <t>最大列</t>
  </si>
  <si>
    <t>通用特性</t>
  </si>
  <si>
    <t>生物种类</t>
  </si>
  <si>
    <t>种族备选</t>
  </si>
  <si>
    <t>亚种选项</t>
  </si>
  <si>
    <t>已选特性</t>
  </si>
  <si>
    <t>阿斯莫</t>
  </si>
  <si>
    <t>类人</t>
  </si>
  <si>
    <t>中型(约4-7尺高)或小型(约2-4尺高)，在选择此种族时决定</t>
  </si>
  <si>
    <t>30尺</t>
  </si>
  <si>
    <t>龙裔</t>
  </si>
  <si>
    <t>中型(约5-7尺高)</t>
  </si>
  <si>
    <t>矮人</t>
  </si>
  <si>
    <t>中型(约4-5尺高)</t>
  </si>
  <si>
    <t>精灵</t>
  </si>
  <si>
    <t>中型(约5-6尺高)</t>
  </si>
  <si>
    <t>卓尔</t>
  </si>
  <si>
    <t>高等精灵</t>
  </si>
  <si>
    <t>木精灵</t>
  </si>
  <si>
    <t>序号</t>
  </si>
  <si>
    <t>侏儒</t>
  </si>
  <si>
    <t>小型(约3-4尺高)</t>
  </si>
  <si>
    <t>森林侏儒</t>
  </si>
  <si>
    <t>岩侏儒</t>
  </si>
  <si>
    <t>歌利亚</t>
  </si>
  <si>
    <t>中型(约7-8尺高)</t>
  </si>
  <si>
    <t>35尺</t>
  </si>
  <si>
    <t>云巨人</t>
  </si>
  <si>
    <t>火巨人</t>
  </si>
  <si>
    <t>霜巨人</t>
  </si>
  <si>
    <t>山丘巨人</t>
  </si>
  <si>
    <t>石巨人</t>
  </si>
  <si>
    <t>风暴巨人</t>
  </si>
  <si>
    <t>半身人</t>
  </si>
  <si>
    <t>小型(约2-3尺高)</t>
  </si>
  <si>
    <t>人类</t>
  </si>
  <si>
    <t>中型(约4-7尺高)或小型(约2-4英尺高)，在选择此种族时决定</t>
  </si>
  <si>
    <t>兽人</t>
  </si>
  <si>
    <t>中型(约6-7尺高)</t>
  </si>
  <si>
    <t>提夫林</t>
  </si>
  <si>
    <t>中型（约4-7尺高）或小型（约3-4尺高），在选择此种族时决定</t>
  </si>
  <si>
    <t>深渊</t>
  </si>
  <si>
    <t>幽冥</t>
  </si>
  <si>
    <t>炼狱</t>
  </si>
  <si>
    <t>亚种错误</t>
  </si>
  <si>
    <t>未选亚种</t>
  </si>
  <si>
    <t>黑暗视觉</t>
  </si>
  <si>
    <t>天界抗性</t>
  </si>
  <si>
    <t>治愈之手</t>
  </si>
  <si>
    <t>光辉掌者</t>
  </si>
  <si>
    <t>天启</t>
  </si>
  <si>
    <t>天堂飞翼</t>
  </si>
  <si>
    <t>内耀辉光</t>
  </si>
  <si>
    <t>死灵环绕</t>
  </si>
  <si>
    <t>你拥有60尺黑暗视觉。</t>
  </si>
  <si>
    <t>你具有光耀伤害与暗蚀伤害的抗性。</t>
  </si>
  <si>
    <t>以一个魔法动作，你触碰一个生物，并掷数量等于你熟练加值枚d4。该生物恢复等于掷骰结果之和的生命值。使用此特质后，直到你完成一次长休为止都不能再次使用。</t>
  </si>
  <si>
    <t>你习得光亮术Light戏法。其施法属性为魅力。</t>
  </si>
  <si>
    <t>当你到达3级时，你将获得用附赠动作进行变身的能力。每次使用此能力时，选择下列变身选项之一。你的变身会持续1分钟，你也可以主动提前终止它（无需动作）。使用此能力变身之后，直到你完成一次长休为止都不能再次使用此能力。
在变身期间，每个你的回合一次，当你以攻击或法术对一个目标造成伤害时，你可以对其额外造成等同于你熟练加值的伤害，其伤害类型取决于你选择的选项，选择死灵环绕则该伤害为暗蚀，选择天堂飞翼或内耀辉光则该伤害为光耀伤害。
变身选项如下：</t>
  </si>
  <si>
    <t>你的后背暂时伸出两片灵体飞翼。直到变身结束前，你获得等于你速度的飞行速度。</t>
  </si>
  <si>
    <t>你的双眼与嘴巴暂时放出灼热的光芒。持续时间内，你散发出10尺明亮光照与其外10尺的微光光照。在你每个回合结束时，位于你10尺内的每个生物都会受到等于你熟练加值的光耀伤害。</t>
  </si>
  <si>
    <t>你的双目暂时变得如同黑暗深潭一般，无法飞行的双翼从你的背上涌出。除你盟友外，任何在你10尺内可以看见你的生物都必须通过一次魅力豁免检定（DC=8+你的熟练加值+你的魅力调整值），否则将会陷入恐慌状态，持续至你的下一回合结束。</t>
  </si>
  <si>
    <t>龙族血统</t>
  </si>
  <si>
    <t>吐息武器</t>
  </si>
  <si>
    <t>伤害抗性</t>
  </si>
  <si>
    <t>龙族飞翼</t>
  </si>
  <si>
    <t>你的血脉可以追溯到某种巨龙祖先。从龙族血统表格中选择一种龙。你选择的龙种将会影响你的吐息武器和伤害抗性特质，以及你的外表。
龙族血统Draconic Ancestry 
龙种 伤害类型
黑龙 强酸
蓝龙 闪电
黄铜龙 火焰
青铜龙 闪电
赤铜龙 强酸
金龙 火焰
绿龙 毒素
红龙 火焰
银龙 寒冷
白龙 寒冷</t>
  </si>
  <si>
    <t>每当你在自己回合内进行攻击动作时，你可以将其中一次攻击替换为释放魔法性的能量，覆盖15尺锥状区域或30尺长5尺宽的线状区域（每次吐息时选择其范围）。区域内的生物必须进行一次敏捷豁免检定（DC=8+你的体质调整值+你的熟练加值）。豁免失败的生物受到1d10伤害，伤害类型为你龙族血统特质所选龙种对应的类型。豁免成功的生物只受到一半伤害。此伤害会在你达到5级（2d10），11级（3d10）和17级（4d10）时提升1d10。
你可以使用此吐息武器的次数等于你的熟练加值，完成一次长休后，你重获全部已消耗的使用次数。</t>
  </si>
  <si>
    <t>根据你龙族血统特质所选龙种，你获得对应的伤害类型的伤害抗性。</t>
  </si>
  <si>
    <t>到达5级后，你可以引导体内龙之魔法的能力，让自己暂时获得飞行能力。以一个附赠动作，你的后背临时伸出两片灵体飞翼，持续10分钟，陷入失能状态时或你主动收起它时（无需动作）它将提前消失。飞翼存在期间，你获得等于你速度的飞行速度。你的翅膀看起来像是和你吐息武器相同的能量凝聚而成。使用此特质后，直到你完成一次长休为止你都不能再次使用它。</t>
  </si>
  <si>
    <t>矮人体魄</t>
  </si>
  <si>
    <t>矮人刚毅</t>
  </si>
  <si>
    <t>石中精妙</t>
  </si>
  <si>
    <t>你拥有120尺黑暗视觉。</t>
  </si>
  <si>
    <t>你具有毒素伤害的抗性。此外，你为避免/结束中毒状态所做的豁免检定具有优势。</t>
  </si>
  <si>
    <t>你的生命值上限加1，且此后每次升级时再加1。</t>
  </si>
  <si>
    <t>以一个附赠动作，你获得60尺震颤感知，持续10分钟。你必须位于岩石表面上或是触碰着岩石的表面才能使用此震颤感知，不过其可以是天然的岩石，也可以是加工过的岩石。
你可以使用此附赠动作的次数等于你的熟练加值，完成长休后你重获全部已消耗的使用次数。</t>
  </si>
  <si>
    <t>精类血统</t>
  </si>
  <si>
    <t>敏锐感官</t>
  </si>
  <si>
    <t>出神</t>
  </si>
  <si>
    <t>精灵血系</t>
  </si>
  <si>
    <t>你在进行避免或结束魅惑状态的豁免时具有优势。</t>
  </si>
  <si>
    <t>你具有洞悉、察觉或求生之一技能的熟练。</t>
  </si>
  <si>
    <t>你不需要睡觉，魔法也不能让你陷入睡眠。利用出神冥想，你可以仅用4小时完成长休，且在这期间保持意识清醒。</t>
  </si>
  <si>
    <t>你属于一支精灵血系，并因此获得了超自然能力。从精灵血系表格中选择其一。你获得该血系的1级好处。
当你到达3级和5级时，你分别习得一道表格上更高级的法术；你时刻准备着这道习得的法术，且可以不消耗法术位施展此法术一次，当你完成一次长休时，你重获施展该道法术的能力。你也可以用任何你拥有的相应环阶法术位施展该道法术。
当你选择血系时，选择智力、感知、或魅力之一，该属性即是你用此特质施展法术时的施法属性。</t>
  </si>
  <si>
    <t>1级 你的黑暗视觉提升至120尺。你习得舞光术Dancing light 戏法。
3级 妖火Faerie Fire 
5级 黑暗术Darkness</t>
  </si>
  <si>
    <t xml:space="preserve">1级 你知晓魔法伎俩Prestidigitation戏法。每当你完成长休时，你可以将它替换为法师法术列表中的另一个戏法。
3级 侦测魔法Detect Magic 
5级 迷踪步Misty Step </t>
  </si>
  <si>
    <t xml:space="preserve">1级 你的速度提升至35尺。你知晓德鲁伊伎俩Druidcraft戏法。
3级 大步奔行Longstrider
5级 行动无踪Pass without Trace </t>
  </si>
  <si>
    <t>侏儒狡黠</t>
  </si>
  <si>
    <t>侏儒血系</t>
  </si>
  <si>
    <t>你进行的智力、感知、魅力豁免检定均具有优势。</t>
  </si>
  <si>
    <t>你属于一支侏儒血系，并因此获得了一些超自然能力。从下列选项中选择其一。当你选择血系时，再选择智力、感知、魅力中的一项属性；无论你选择的是哪个血系，你以此特质施展法术时的施法属性都是所选的属性。</t>
  </si>
  <si>
    <t>你知晓次级幻象Minor Illusion戏法。你也始终准备着动物交谈Speak With Animals法术，你可以不消耗法术位施展此法术，次数等于你的熟练加值，完成长休后，你重获全部已消耗的使用次数。你也可以用任何你拥有的法术位施展那道法术。</t>
  </si>
  <si>
    <t>你知晓修复术Mending和魔法伎俩Prestidigitation这两道戏法。此外，你可以花费10分钟时间，通过施展魔法伎俩法术来创造一个微型发条装置（AC为5，HP为1），比如一件玩具、一个打火机、一个音乐盒。当你创造这个设备时，你可以从魔法伎俩Prestidigitation戏法中选择一个效果来决定它的功能；你与其他生物可以使用附赠动作触碰该装置来激活它，此时该装置就会产生对应的效果。如果选择的效果存在选项，则在创建时选择其中一项应用。例如，如果你选择了法术中的那个点燃与熄灭的效果，你就需要决定设备是用来点火还是熄火的——一台设备无法同时做到两个功能。你同时最多拥有三台这样的装置，每一个都会在被创造出来的8小时后解体消失。你也可以用利用动作，触摸你的一台设备将其拆除。</t>
  </si>
  <si>
    <t>大型形态</t>
  </si>
  <si>
    <t>身强力壮</t>
  </si>
  <si>
    <t>巨人先祖</t>
  </si>
  <si>
    <t>云之远迹</t>
  </si>
  <si>
    <t>火之燃烧</t>
  </si>
  <si>
    <t>霜之刺骨</t>
  </si>
  <si>
    <t>山之翻撞</t>
  </si>
  <si>
    <t>石之坚韧</t>
  </si>
  <si>
    <t>岚之暴鸣</t>
  </si>
  <si>
    <t>从第5级开始，你可以用附赠动作将自己体型变为大型（只要你所处的空间大小足够）。转变持续10分钟，或者直到你主动结束（无需动作）。在这段时间内，你进行的力量检定具有优势，你的速度增加10尺。使用此特质后，直到你完成一次长休为止都不能再次使用。</t>
  </si>
  <si>
    <t>你为让自己摆脱受擒状态所作的豁免检定具有优势。此外，计算自己的载重时，视为大一级的体型。</t>
  </si>
  <si>
    <t>你是巨人的后裔。选择以下好处之一——它们是来自你祖先的超自然恩惠；你可以使用所选恩惠的次数等于你的熟练加值，完成长休后，你重获全部已消耗的使用次数。</t>
  </si>
  <si>
    <t>以一个附赠动作，你可以魔法性地传送到30尺内一处你可见的未占据空间中。</t>
  </si>
  <si>
    <t>当你以攻击检定击中目标并对其造成伤害时，你可以对该目标额外造成1d10点火焰伤害。</t>
  </si>
  <si>
    <t>当你以攻击检定击中目标并对其造成伤害时，你可以对该目标额外造成1d6点寒冷伤害，并其速度降低10尺，持续至你的下一回合开始。</t>
  </si>
  <si>
    <t>当你以攻击检定击中一个体型不超过大型的生物并对其造成伤害时，你可以令其陷入倒地状态。</t>
  </si>
  <si>
    <t>当你受到伤害时，你可以用反应掷一枚d12。此次所受伤害减少掷骰结果+你的体质调整值点。</t>
  </si>
  <si>
    <t>当你被你60尺内的生物造成伤害时，你可以使用反应对该生物造成1d8点雷鸣伤害。</t>
  </si>
  <si>
    <t>勇气</t>
  </si>
  <si>
    <t>半身人灵巧</t>
  </si>
  <si>
    <t>天生善匿</t>
  </si>
  <si>
    <t>你为避免/结束恐慌状态所作的豁免具有优势。</t>
  </si>
  <si>
    <t>你可以穿越任何体型比你大的生物所在空间，但你不能在其内停下。</t>
  </si>
  <si>
    <t>当你在D20检定中的d20掷出1时，你可以再重掷一次，但你必须使用重掷的结果。</t>
  </si>
  <si>
    <t>当你在仅被比你大1级的生物遮蔽时，你也可以进行躲藏动作。</t>
  </si>
  <si>
    <t>适应力</t>
  </si>
  <si>
    <t>多才多艺</t>
  </si>
  <si>
    <t>每当你完成长休时，你都会获得英雄激励。</t>
  </si>
  <si>
    <t>你获得一项自选的技能的熟练。</t>
  </si>
  <si>
    <t>你获得一项自选的起源专长。</t>
  </si>
  <si>
    <t>激昂冲锋</t>
  </si>
  <si>
    <t>坚韧不屈</t>
  </si>
  <si>
    <t>你能用附赠动作执行疾走动作。而当你这么做时，你还会获得等同于你熟练加值的临时生命值。
你可以使用此特质次数等于你的熟练加值，完成一次长休后，你重获全部已消耗的使用次数。</t>
  </si>
  <si>
    <t>当你生命值降至0而没有立即死亡时，可以改为使生命值降至1。使用此特质后，在你完成一次长休前你都不能再次使用它。</t>
  </si>
  <si>
    <t>异界存在</t>
  </si>
  <si>
    <t>邪魔遗赠</t>
  </si>
  <si>
    <t xml:space="preserve">你知晓奇术Thaumaturgy戏法。用此特质施展它时，这道法术使用与你的邪魔遗赠特性使用相同的施法属性。 </t>
  </si>
  <si>
    <t>你承载着一份给予了你超自然能力的邪魔遗赠。从邪魔遗赠表格中选择其一。你获得该遗赠的1级好处。
当你到达3级和5级时，你分别学会一道表格上更高级的法术；你时刻准备着这道习得的法术，且可以不消耗法术位施展此法术一次，当你完成一次长休时，你重获施展该道法术的能力。你也可以用任何你拥有的相应环阶法术位施展该道法术。
选择遗赠时，从智力、感知、魅力中选择一项属性，该属性是你用此特质施展法术时的施法属性。</t>
  </si>
  <si>
    <t xml:space="preserve">1级 你获得对毒素伤害的抗性。你习得毒气喷涌Poison Spray 戏法。
3级 致病射线Ray of Sickness 
5级 定身类人Hold Person </t>
  </si>
  <si>
    <t xml:space="preserve">1级 获得对暗蚀伤害的抗性。你习得颤栗之触Chill Touch 戏法。
3级 虚假生命False Life 
5级 衰弱射线Ray of Enfeeblement </t>
  </si>
  <si>
    <t>1级 你获得对火焰伤害的抗性。你习得火焰箭Fire Bolt 戏法。
3级 炼狱叱喝Hellish Rebuke 
5级 黑暗术Darkness</t>
  </si>
  <si>
    <t>背景名称</t>
  </si>
  <si>
    <t>侍僧</t>
  </si>
  <si>
    <t>智力、感知、魅力</t>
  </si>
  <si>
    <t>魔法学徒（牧师）</t>
  </si>
  <si>
    <t>洞悉与宗教</t>
  </si>
  <si>
    <t>选择A或B：(A)书法工具、书籍（祈祷文）、圣徽、羊皮纸（10张）、长袍、8GP；或(B)50GP。</t>
  </si>
  <si>
    <t>你在一座寺庙中全心全意的侍奉，或是挂单在城镇中，或是幽居在圣所。你在那里执掌祭仪崇敬一位神祇或是众神。多亏了你的祭司教导和你的虔诚，你也掌握了如何引导一点点神力来为你的崇敬祈祷和在那里祷告的人们提供司教服务。</t>
  </si>
  <si>
    <t>工匠</t>
  </si>
  <si>
    <t>力量、敏捷、智力</t>
  </si>
  <si>
    <t>调查与游说</t>
  </si>
  <si>
    <t>选择一种工匠工具</t>
  </si>
  <si>
    <t>选择A或B：(A)工匠工具（同上所选）、2小包、旅行者服装、32GP；或(B)50GP。</t>
  </si>
  <si>
    <t>你在力气足以提起水桶时，就开始于工匠工坊里以拖地和擦洗度日，每天挣那么几个铜板。当你长到成为学徒的年龄时，你学会了自己制作基本的手工艺品，还有面对刁钻客户时该说什么好话。你的买卖也让你对消息琐事有敏锐的洞察力。</t>
  </si>
  <si>
    <t>骗子</t>
  </si>
  <si>
    <t>敏捷、体质、魅力</t>
  </si>
  <si>
    <t>欺瞒和巧手</t>
  </si>
  <si>
    <t>选择A或B：(A)文书伪造工具，表演服装，高档服装，15GP；或(B)50GP</t>
  </si>
  <si>
    <t>在你长到能买酒的年纪后，你立刻就在家乡方圆十里内的所有酒吧拥有了自己专属的钟意座位。当你在各个酒吧间穿梭时，你学会了如何用善意的谎言去安抚那些需要安慰的可怜人——也许是一剂包治百病的良方或是一份伪造的血统证明。</t>
  </si>
  <si>
    <t>罪犯</t>
  </si>
  <si>
    <t>敏捷、体质、智力</t>
  </si>
  <si>
    <t>警觉</t>
  </si>
  <si>
    <t>巧手和隐匿</t>
  </si>
  <si>
    <t>选择A或B：(A)2匕首、盗贼工具、撬棍、2小包、旅行者服装、16GP；或(B)50GP</t>
  </si>
  <si>
    <t>你潜藏在阴暗的小巷里，靠着偷鸡摸狗苟且偷生。也许你曾与一帮称兄道弟的法外狂徒患难与共。又或者，你也许是一个孤勇者，自力更生的同时与当地的盗贼公会乃至更可怕的违法者们明争暗斗。</t>
  </si>
  <si>
    <t>艺人</t>
  </si>
  <si>
    <t>力量、敏捷、魅力</t>
  </si>
  <si>
    <t>特技和表演</t>
  </si>
  <si>
    <t>选择一种乐器</t>
  </si>
  <si>
    <t>选择A或B：(A)乐器（同上所选）、2件表演服装、镜子、香水、旅行者服装、11GP；或(B)50GP</t>
  </si>
  <si>
    <t>你年轻时大部分时间都在参加巡回演出和嘉年华会，为音乐家和杂技演员们做零工以换取学习的机会。你可能已经学会了如何走钢丝，如何弹奏风格独特的鲁特琴，或是用怎样无可挑剔的发音方式吟诵诗歌。而现如今，你在喝彩声中茁壮成长，渴望登上舞台。</t>
  </si>
  <si>
    <t>农民</t>
  </si>
  <si>
    <t>力量、体质、感知</t>
  </si>
  <si>
    <t>驯兽和自然</t>
  </si>
  <si>
    <t>选择A或B：(A)镰刀、木匠工具、治疗包、铁锅、铲子、旅行者的衣服、30GP；或(B)50GP</t>
  </si>
  <si>
    <t>你从小就生在农家地，长在农家地。多年照料动物和耕种土地回报你以耐心和一个倍儿棒的健康身体。你对大自然的甘霖充满感激之情，也对自然之怒抱以敬畏之心。</t>
  </si>
  <si>
    <t>警卫</t>
  </si>
  <si>
    <t>力量、智力、感知</t>
  </si>
  <si>
    <t>运动和察觉</t>
  </si>
  <si>
    <t>选择一种赌具</t>
  </si>
  <si>
    <t>选择A或B：(A)矛，轻弩，20弩矢，赌具（同上所选），附盖提灯，镣铐，箭袋（译注：原文如此），旅行者服装，12GP；或(B)50GP。</t>
  </si>
  <si>
    <t>你脚上的疼痛让你无法忘怀在塔楼驻岗上站班的无数时光。你曾被训练一只眼睛紧盯着墙外，小心提防那附近森林而来的掠夺者，而另一只眼睛则要盯着墙内，细细查探小偷小摸和惹是生非之人。</t>
  </si>
  <si>
    <t>向导</t>
  </si>
  <si>
    <t>敏捷、体质、感知</t>
  </si>
  <si>
    <t>魔法学徒（德鲁伊）</t>
  </si>
  <si>
    <t>隐匿和求生</t>
  </si>
  <si>
    <t>选择A或B：(A)短弓、20箭、制图工具、铺盖、箭袋、帐篷、旅行者服装、3GP；或(B)50GP</t>
  </si>
  <si>
    <t>你在野外长大，远离定居区。你的家就在你决定打开铺盖的任何地方。荒野中自有奇妙之处——奇特的怪物、原始的森林和溪流；如今杂草丛生的、曾被巨人踏过的大殿废墟。在探索它们的过程中你学会了保护自己。而时不时的，你会遇到亲爱的自然祭司，他们会指导你掌握怎样运用荒野的魔法。</t>
  </si>
  <si>
    <t>隐士</t>
  </si>
  <si>
    <t>体质、感知、魅力</t>
  </si>
  <si>
    <t>医药与宗教</t>
  </si>
  <si>
    <t>选择A或B：(A)长棍、草药工具、铺盖、书籍（哲学）、油灯、灯油（3扁瓶）、旅行者服装、16GP；或(B)50GP</t>
  </si>
  <si>
    <t>你早年住在远离聚集地的、与世隔绝的小屋或是隐修院中。在那些日子里，你唯一的伙伴是森林中的生灵，以及那些偶尔带来给养和外界消息的访客。孤独让你花了很多时间琢磨天道的未解之谜。</t>
  </si>
  <si>
    <t>商人</t>
  </si>
  <si>
    <t>体质、智力、魅力</t>
  </si>
  <si>
    <t>驯兽和游说</t>
  </si>
  <si>
    <t>选择A或B：(A)领航工具、2小包、旅行者服装、22GP；或(B)50GP</t>
  </si>
  <si>
    <t>你曾作为一名学徒学习着商业的基础知识，你的师傅是一名商贩、商队的领队或是某位商铺的店主。你旅行八方，靠着买入和卖出工匠们所需的原材料和这些工匠的制品赚钱谋生。你可能需要把这些货物从一个地方运输到另一个地方（通过船、货货车还有商队），又或是从旅行商人那里订货，然后在自己店里销售。</t>
  </si>
  <si>
    <t>贵族</t>
  </si>
  <si>
    <t>力量、智力、魅力</t>
  </si>
  <si>
    <t>历史和游说</t>
  </si>
  <si>
    <t>选择A或B：(A)赌具（同上所选）、高档服装、香水、29GP，或(B)50GP</t>
  </si>
  <si>
    <t>权力、财富还有荣耀伴随你在城堡中长大，你那贵不可言的小家族确保你受到了一流的教育，其中有些教导令你感激，而有些则只让你觉得愤慨。在城堡中的时光，尤其是在长久以来耳濡目染于宫廷中的家族往来，也培养了你足以胜任领袖的许多才能。</t>
  </si>
  <si>
    <t>智者</t>
  </si>
  <si>
    <t>体质、智力、感知</t>
  </si>
  <si>
    <t>魔法学徒（法师）</t>
  </si>
  <si>
    <t>奥秘和历史</t>
  </si>
  <si>
    <t>选择A或B：(A)长棍、书法工具、书籍（历史）、羊皮纸（8张）、长袍、8GP；或(B)50GP</t>
  </si>
  <si>
    <t>你长大的岁月便在宅邸和修行院之间的奔波中过去，做着各式各样的零活和服务，以此访问他们的图书馆藏。你花了那么多漫长的夜晚学习书籍和卷册，阅览多元宇宙的见闻，甚至涉猎魔法的本质——而你的心灵正渴望着了解更多。</t>
  </si>
  <si>
    <t>水手</t>
  </si>
  <si>
    <t>力量、敏捷、感知</t>
  </si>
  <si>
    <t>特技和察觉</t>
  </si>
  <si>
    <t>选择A或B：(A)匕首、领航工具、绳索、旅行者服装、20GP；或(B)50GP</t>
  </si>
  <si>
    <t>你作为一名海员生活，背上吹的是海风，脚下站的是摇晃的甲板。你在停泊港总是坐在酒吧的高脚凳上，回忆你曾直面猛烈的风暴，与那些在波涛下生活的人们高谈阔论着过去。</t>
  </si>
  <si>
    <t>抄写员</t>
  </si>
  <si>
    <t>敏捷、智力、感知</t>
  </si>
  <si>
    <t>调查和察觉</t>
  </si>
  <si>
    <t>选择A或B：(A)书法工具、高档服装、油灯、灯油（3瓶）、羊皮纸（12张）、23GP；或(B)50GP</t>
  </si>
  <si>
    <t>你成长的时期都在缮写室度过，那是一座致力于保存知识的修道院，或是某个政府机关。你在那里学会了如何书写思维敏锐有逻辑的文字和怎样制作得体的书面文本，有时你会抄录政府文件或是誊抄文献巨著。你可能有一些诗歌写作的技艺、叙事的技巧或是学术上的研究。最重要的是，你对琐碎处的关注很细致。这能帮助你避免在誊录和撰写文稿时出现错误。</t>
  </si>
  <si>
    <t>士兵</t>
  </si>
  <si>
    <t>力量、敏捷、体质</t>
  </si>
  <si>
    <t>运动和威吓</t>
  </si>
  <si>
    <t>选择A或B：(A)矛、短弓、20支箭、赌具（同上所选）、医疗包、箭袋、旅行者服装、14GP；或(B)50GP</t>
  </si>
  <si>
    <t>你从成年开始便接受战阵训练，鲜少有拿起武器之前的生活回忆，战斗已融入你的血液。有时候你会发现自己正在反复操练着最初学会的基本战斗训练。而最终，你会将这些训练运用到战场上，在战争中行使武力，保护你的王国。</t>
  </si>
  <si>
    <t>流浪者</t>
  </si>
  <si>
    <t>敏捷、感知、魅力</t>
  </si>
  <si>
    <t>洞悉和隐匿</t>
  </si>
  <si>
    <t>选择A或B：(A)2匕首、盗贼工具、赌具（任意）、铺盖、2小包、旅行者服装、16GP；或(B)50GP</t>
  </si>
  <si>
    <t>你在街头长大，身边都是同样命途多舛的孤儿，有些是朋友有些是对头。你露宿街头，只靠着打零工来换取食物。有些时候你会感到饥饿难耐，但却只能以盗窃维生。尽管如此，你从未抛你的自尊，也从未放弃希望。命运还没有就此关上大门。</t>
  </si>
  <si>
    <t>背包 Inventory</t>
  </si>
  <si>
    <t>速查</t>
  </si>
  <si>
    <t>冒险装备</t>
  </si>
  <si>
    <t>lb</t>
  </si>
  <si>
    <t>数量</t>
  </si>
  <si>
    <t>×</t>
  </si>
  <si>
    <t>次元袋重量</t>
  </si>
  <si>
    <t>次元袋负重（收纳）</t>
  </si>
  <si>
    <t>次元袋负重上限</t>
  </si>
  <si>
    <t>盟友 / 协力者 Sidekicks</t>
  </si>
  <si>
    <t>魔宠或宠物</t>
  </si>
  <si>
    <t>姓名</t>
  </si>
  <si>
    <t>名字</t>
  </si>
  <si>
    <t>关系</t>
  </si>
  <si>
    <t>相识地</t>
  </si>
  <si>
    <t>类型</t>
  </si>
  <si>
    <t>临时HP</t>
  </si>
  <si>
    <t>盟友画像 / 描述</t>
  </si>
  <si>
    <t>感官</t>
  </si>
  <si>
    <t>动作</t>
  </si>
  <si>
    <t>盟友故事</t>
  </si>
  <si>
    <t>个人据点</t>
  </si>
  <si>
    <t>据点名称</t>
  </si>
  <si>
    <t>据点位置</t>
  </si>
  <si>
    <t>据点描述</t>
  </si>
  <si>
    <t>据点1</t>
  </si>
  <si>
    <t>据点2</t>
  </si>
  <si>
    <t>物品名称</t>
  </si>
  <si>
    <t>物品描述</t>
  </si>
  <si>
    <t>币种</t>
  </si>
  <si>
    <t>来源</t>
  </si>
  <si>
    <t>法术查询↓</t>
  </si>
  <si>
    <t>法术列表↓</t>
  </si>
  <si>
    <t>绿：专注 蓝：仪式</t>
  </si>
  <si>
    <t>变体：法术值 Variant: Spell Points
　　改变职业感觉的一种方法是改变它使用法术的方式。在该变体系统下，一名具有“施法”特性的角色将使用法术值而不是法术位来作为法术的资源。法术值给予施法者更大的灵活性，却以复杂化为代价。
　　在该变体下，每个法术都有一个基于其环阶的成本值。表格“法术值消耗”总结了从1到9环阶法术的对应法术值成本。戏法不需要法术位因此也不需要消耗法术值。
　　你将获取一定数量的法术值代替所获得的各种法术位。随后，你将花费一定数量的法术值来创建一个指定环阶的法术位，然后使用该法术位来施展一个法术。你不能把你的法术值降低到少于0的数值，完成一次长休后，你将重新恢复所有已消耗的法术值。
　　6环或更高环阶的法术施法时耗费巨大。你可以使用法术值来创建一个6环或更高环阶的法术位。但此后直至完成一次长休前，你将无法再以此创造同样水平的法术位。
　　你需要使用的法术值的总量基于你的施法者等级，如表格“等级对应法术值”所示。你的等级同时也决定了你能创造的最高环阶法术位。而即使你可能有足够的法术值来创造高于该最大值的法术位，你也无法这样做。
　　表格“等级对应法术值”适用于吟游诗人、牧师、德鲁伊、术士和法师。当用于圣武士或游侠时，必须将角色的等级减半后再对应该表。而用于战士（奥法骑士Eidritch Knight）或游荡者（诡术师Arcane Trickster）时，则先将角色的等级除以三。
　　该系统也可以用于使用法术位施法的怪物，但并不推荐。事实上，跟进一只怪物的法术值其实相当麻烦。
法术值消耗Spell Point Cost
法术环阶　　 消耗值 
1环　　　　　　2
2环　　　　　　3
3环　　　　　　5
4环　　　　　　6
5环　　　　　　7
6环　　　　　　9
7环　　　　　　10
8环　　　　　　11
9环　　　　　　13
等级对应法术值Spell Points by Level
职业等级　　法术值　　最大法术环阶
1st　　　　  4　　　　   1环
2nd　　　　 6　　　　   1环
3rd　　　　 14　　　　  2环
4th　　　　 17　　　　  2环
5th　　　　 27　　　　  3环
6th　　　　 32　　　　  3环
7th　　　　 38　　　　  4环
8th　　　　 44　　　　  4环
9th  　　　　57　　  　　5环
10th　　　　64　  　　　5环
11th　　　　73　　  　　6环
12th　　　　73　　  　　6环
13th　　　　83　　  　　7环
14th　　　　83　　  　　7环
15th　　　　94　　  　　8环
16th　　　　94　　　  　8环
17th　　　　107　　　　9环
18th　　　　114　　　　9环
19th　　　　123　　　　9环
20th　　　　133　　　　9环</t>
  </si>
  <si>
    <t>出处：</t>
  </si>
  <si>
    <t>适用职业：</t>
  </si>
  <si>
    <t>环阶：</t>
  </si>
  <si>
    <t>系别：</t>
  </si>
  <si>
    <t>施法时间：</t>
  </si>
  <si>
    <t>施法距离：</t>
  </si>
  <si>
    <t>法术成分：</t>
  </si>
  <si>
    <t>法术材料：</t>
  </si>
  <si>
    <t>持续时间：</t>
  </si>
  <si>
    <t>法术说明</t>
  </si>
  <si>
    <t>学派</t>
  </si>
  <si>
    <t>V 言语</t>
  </si>
  <si>
    <t>S 姿势</t>
  </si>
  <si>
    <t>M 材料</t>
  </si>
  <si>
    <t>材料内容</t>
  </si>
  <si>
    <t>法术详述</t>
  </si>
  <si>
    <t>英文名</t>
  </si>
  <si>
    <t>时间</t>
  </si>
  <si>
    <t>重力</t>
  </si>
  <si>
    <t>出处</t>
  </si>
  <si>
    <t>酸液飞溅</t>
  </si>
  <si>
    <t>塑能</t>
  </si>
  <si>
    <t>60尺</t>
  </si>
  <si>
    <t>V</t>
  </si>
  <si>
    <t>S</t>
  </si>
  <si>
    <t>立即</t>
  </si>
  <si>
    <r>
      <rPr>
        <sz val="11"/>
        <color theme="1"/>
        <rFont val="仿宋"/>
        <family val="3"/>
        <charset val="134"/>
      </rPr>
      <t xml:space="preserve">你在施法距离内一点创造出一颗酸液泡，以该点5尺球状范围爆发。该球状区域内的每名生物必须通过一次敏捷豁免，否则受到1d6点强酸伤害。
</t>
    </r>
    <r>
      <rPr>
        <b/>
        <sz val="11"/>
        <color theme="1"/>
        <rFont val="仿宋"/>
        <family val="3"/>
        <charset val="134"/>
      </rPr>
      <t>戏法强化：</t>
    </r>
    <r>
      <rPr>
        <sz val="11"/>
        <color theme="1"/>
        <rFont val="仿宋"/>
        <family val="3"/>
        <charset val="134"/>
      </rPr>
      <t>本法术的伤害会在你达到下列等级时提升1d6：5级（2d6）、11级（3d6）以及17级（4d6）。</t>
    </r>
  </si>
  <si>
    <t>Acid Splash</t>
  </si>
  <si>
    <t>玩家手册</t>
  </si>
  <si>
    <t>剑刃防护</t>
  </si>
  <si>
    <t>防护</t>
  </si>
  <si>
    <t>自身</t>
  </si>
  <si>
    <t>专注，至多1分钟</t>
  </si>
  <si>
    <t>在此法术结束前，每当有生物对你发动攻击检定，该生物的该次攻击检定都将承受1d4减值。</t>
  </si>
  <si>
    <t>Blade Ward</t>
  </si>
  <si>
    <t>颤栗之触</t>
  </si>
  <si>
    <t>死灵</t>
  </si>
  <si>
    <t>触碰</t>
  </si>
  <si>
    <t>你引导出来自坟墓的刺骨阴冷，对目标进行一次近战法术攻击。命中时，目标将受到1d10点暗蚀伤害，并且直至你下一回合的结束前都无法恢复生命值。
戏法强化： 法术的伤害会在你到达下列等级时增加1d10：5级（2d10）、11级（3d10）以及17级（4d10）。</t>
  </si>
  <si>
    <t>Chill Touch</t>
  </si>
  <si>
    <t>舞光术</t>
  </si>
  <si>
    <t>幻术</t>
  </si>
  <si>
    <t>120尺</t>
  </si>
  <si>
    <t>M</t>
  </si>
  <si>
    <t>一点磷</t>
  </si>
  <si>
    <t>你在施法距离内创造至多四个火把大小的光源，使其在法术持续时间内看起来如同火把、灯笼或悬浮珠。或者，你可以将四个光源合并为一个发光的整体形态，使其看上去像一个模糊的中型人形。无论你选择哪种形态，每个光源都会发出10尺半径的微光光照 。
你可以用附赠动作将光源移动至多60尺至施法距离内的一处空间。一个由此法术创造的光源必须始终位于任一光源周围20尺内，而超出施法距离的光源会随即熄灭。</t>
  </si>
  <si>
    <t>Dancing Lights</t>
  </si>
  <si>
    <t>德鲁伊伎俩</t>
  </si>
  <si>
    <t>变化</t>
  </si>
  <si>
    <r>
      <rPr>
        <sz val="11"/>
        <color theme="1"/>
        <rFont val="仿宋"/>
        <family val="3"/>
        <charset val="134"/>
      </rPr>
      <t>你向自然精魂低语，在施法距离内创造出下述效应之一。
　　</t>
    </r>
    <r>
      <rPr>
        <sz val="11"/>
        <color theme="1"/>
        <rFont val="Arial"/>
        <family val="2"/>
      </rPr>
      <t>•</t>
    </r>
    <r>
      <rPr>
        <sz val="11"/>
        <color theme="1"/>
        <rFont val="仿宋"/>
        <family val="3"/>
        <charset val="134"/>
      </rPr>
      <t xml:space="preserve"> 感知天气Weather Sensor。你创造一个微型而无害的感官效应，并以之预报你所在地接下来 4小时的天气状况。该效应可表现为一个代表晴空的金球、一朵代表雨天的云彩、代表雪日而飘飞的雪花等等。该效应将持续1轮。
　　</t>
    </r>
    <r>
      <rPr>
        <sz val="11"/>
        <color theme="1"/>
        <rFont val="Arial"/>
        <family val="2"/>
      </rPr>
      <t>•</t>
    </r>
    <r>
      <rPr>
        <sz val="11"/>
        <color theme="1"/>
        <rFont val="仿宋"/>
        <family val="3"/>
        <charset val="134"/>
      </rPr>
      <t xml:space="preserve"> 盛放Blossom。你可以立即让一朵鲜花绽放，让一颗种子破壳，或是让一片叶蕾发芽。
　　</t>
    </r>
    <r>
      <rPr>
        <sz val="11"/>
        <color theme="1"/>
        <rFont val="Arial"/>
        <family val="2"/>
      </rPr>
      <t>•</t>
    </r>
    <r>
      <rPr>
        <sz val="11"/>
        <color theme="1"/>
        <rFont val="仿宋"/>
        <family val="3"/>
        <charset val="134"/>
      </rPr>
      <t xml:space="preserve"> 感官效应Sensory Effect。 你创造一个无害的感官效应，例如落叶、如幽灵般舞动的小仙灵们、微风、动物的声音或者臭鼬的微弱臭气。该效应只能在5尺的立方 区域内起效。
　　</t>
    </r>
    <r>
      <rPr>
        <sz val="11"/>
        <color theme="1"/>
        <rFont val="Arial"/>
        <family val="2"/>
      </rPr>
      <t>•</t>
    </r>
    <r>
      <rPr>
        <sz val="11"/>
        <color theme="1"/>
        <rFont val="仿宋"/>
        <family val="3"/>
        <charset val="134"/>
      </rPr>
      <t xml:space="preserve"> 玩火Fire Play。 你点亮/熄灭一根蜡烛、一根火把或一处小篝火。</t>
    </r>
  </si>
  <si>
    <t>Druidcraft</t>
  </si>
  <si>
    <t>魔能爆</t>
  </si>
  <si>
    <t>你释放出一束爆裂能量射线，对施法距离内一名生物或一个物件发动一次远程法术攻击。命中时，目标将受1d10点力场伤害。
戏法强化：到达5级后此法术将创造出两条射线，11级后三条，17级后四条。你可以使这些射线攻击同一个目标或分别攻击不同的目标。你需要为每条射线分别进行攻击检定。</t>
  </si>
  <si>
    <t>Eldritch Blast</t>
  </si>
  <si>
    <t>四象法门</t>
  </si>
  <si>
    <r>
      <rPr>
        <sz val="11"/>
        <color theme="1"/>
        <rFont val="仿宋"/>
        <family val="3"/>
        <charset val="134"/>
      </rPr>
      <t>你操控元素，在施法距离内创造下述效应之一。
　　</t>
    </r>
    <r>
      <rPr>
        <sz val="11"/>
        <color theme="1"/>
        <rFont val="Arial"/>
        <family val="2"/>
      </rPr>
      <t>•</t>
    </r>
    <r>
      <rPr>
        <sz val="11"/>
        <color theme="1"/>
        <rFont val="仿宋"/>
        <family val="3"/>
        <charset val="134"/>
      </rPr>
      <t xml:space="preserve"> 召气Beckon Air。你在一处5尺立方区域内创造一股和风，其足以吹动布料、搅动灰尘、使落叶沙沙作响、关闭开着的门和百叶窗。若开着的门/百叶窗被某人/某物顶住，则其不受该效应影响。
　　</t>
    </r>
    <r>
      <rPr>
        <sz val="11"/>
        <color theme="1"/>
        <rFont val="Arial"/>
        <family val="2"/>
      </rPr>
      <t>•</t>
    </r>
    <r>
      <rPr>
        <sz val="11"/>
        <color theme="1"/>
        <rFont val="仿宋"/>
        <family val="3"/>
        <charset val="134"/>
      </rPr>
      <t xml:space="preserve"> 召土Beckon Earth。你创造灰尘或沙子组成的薄帷，覆盖在5尺立方区域内的表面上，或者你可以在一堆泥土或沙子中使一个单词以你的手写体出现。
　　</t>
    </r>
    <r>
      <rPr>
        <sz val="11"/>
        <color theme="1"/>
        <rFont val="Arial"/>
        <family val="2"/>
      </rPr>
      <t>•</t>
    </r>
    <r>
      <rPr>
        <sz val="11"/>
        <color theme="1"/>
        <rFont val="仿宋"/>
        <family val="3"/>
        <charset val="134"/>
      </rPr>
      <t xml:space="preserve"> 召火Beckon Fire。你在一处5尺立方区域内创造一片无害余烬与一股富有色彩和气味的烟。你选择烟的色彩和气味，而余烬可以点燃区域中的蜡烛、火把或油灯。烟的气味会存留1分钟。
　　</t>
    </r>
    <r>
      <rPr>
        <sz val="11"/>
        <color theme="1"/>
        <rFont val="Arial"/>
        <family val="2"/>
      </rPr>
      <t>•</t>
    </r>
    <r>
      <rPr>
        <sz val="11"/>
        <color theme="1"/>
        <rFont val="仿宋"/>
        <family val="3"/>
        <charset val="134"/>
      </rPr>
      <t xml:space="preserve"> 召水Beckon Water。你在一处5尺立方范围内创造一片凉爽的，使范围内生物和物件略微潮湿的雾气。或者，你可以在一个有开口的容器或表面上创造出一杯干净的水，水会在1分钟内蒸发。
　　</t>
    </r>
    <r>
      <rPr>
        <sz val="11"/>
        <color theme="1"/>
        <rFont val="Arial"/>
        <family val="2"/>
      </rPr>
      <t>•</t>
    </r>
    <r>
      <rPr>
        <sz val="11"/>
        <color theme="1"/>
        <rFont val="仿宋"/>
        <family val="3"/>
        <charset val="134"/>
      </rPr>
      <t xml:space="preserve"> 塑形元素Sculpt Element。你使1尺立方区域内的泥土、沙子、火焰、烟尘、雾气或水呈现出一个粗略的形状（如一名生物），持续1小时。</t>
    </r>
  </si>
  <si>
    <t>Elementalism</t>
  </si>
  <si>
    <t>火焰箭</t>
  </si>
  <si>
    <t>你对施法距离内一名生物或物件掷出一把火焰，对目标进行一次远程法术攻击。命中时，目标将受到1d10点火焰伤害。未被着装或携带的可燃物件被该法术命中时将开始燃烧。
戏法强化：到达特定等级后，此戏法的伤害将增加1d10：5级（2d10）、11级（3d10）、17级（4d10）。</t>
  </si>
  <si>
    <t>Fire Bolt</t>
  </si>
  <si>
    <t>交友术</t>
  </si>
  <si>
    <t>惑控</t>
  </si>
  <si>
    <t>10尺</t>
  </si>
  <si>
    <t>一些化妆品</t>
  </si>
  <si>
    <t>你魔法性地向施法距离内的一名可见生物散发出友谊感。目标必须成功于一次感知豁免，否则其在法术持续时间内陷入魅惑状态。若目标并非类人生物，或者你正在与其战斗，又或者你在过去24小时内曾对其施展过这道法术，则其进行的此次豁免自动成功。
若目标受到伤害，或你进行一次攻击检定、造成伤害、迫使任何人进行一次豁免，则法术会提早结束。法术结束时，目标会知道他曾被你魅惑。</t>
  </si>
  <si>
    <t>Friends</t>
  </si>
  <si>
    <t>神导术</t>
  </si>
  <si>
    <t>预言</t>
  </si>
  <si>
    <t>你触碰一名自愿生物并选择一项技能。直到法术结束为止，受术生物在进行使用到所选技能的任何属性检定时，该次检定具有1d4加值。</t>
  </si>
  <si>
    <t>Guidance</t>
  </si>
  <si>
    <t>光亮术</t>
  </si>
  <si>
    <t>1小时</t>
  </si>
  <si>
    <t>你触碰一个体型不超过大型，且未被他人携带/着装的物件。在法术终止前，物件将发出20尺半径的明亮光照，以及其外20尺范围的微光光照 。光的颜色由你决定。
该物件被不透明的东西完全遮盖时，其光照也将被遮挡。此法术将在你再次施展它时提前终止。</t>
  </si>
  <si>
    <t>Light</t>
  </si>
  <si>
    <t>法师之手</t>
  </si>
  <si>
    <t>咒法</t>
  </si>
  <si>
    <t>1分钟</t>
  </si>
  <si>
    <t>一只漂浮的幽灵手出现在施法距离内你指定的一点。幽灵手持续存在至法术终止。如果幽灵手与你之间的距离超过30尺，则幽灵手将消失不见。若你再次施展了此法术，现存的幽灵手也将提前消失。
你可以在施展该法术时使用幽灵手实施一个行为：你可以操控一个物件、打开一扇未上锁的门或容器、将一件物品放入或取出一个打开的容器、或是将小瓶中的内容物倾倒出来。
在后续的回合中，你可以用魔法 动作控制幽灵手再次实施上述行为之一。而作为那次动作的一部分，你还可以令幽灵手移动至多30尺。
该幽灵手不能攻击，也不能激活魔法物品或承载超过10磅重的物质。</t>
  </si>
  <si>
    <t>Mage Hand</t>
  </si>
  <si>
    <t>修复术</t>
  </si>
  <si>
    <t>两块天然磁石</t>
  </si>
  <si>
    <t>该法术修复你所触碰一个物件上的一处破损或裂缝，例如修复一条断裂的链条、一把碎成两半的钥匙、一件撕裂的斗篷、一个漏了的酒袋等。只要破损或断裂处在任意方向上都不超过 1 尺，你就可以不留痕迹地修复它。
该法术可以物理性地修复一件魔法物品，但无法恢复其上的魔法。</t>
  </si>
  <si>
    <t>Mending</t>
  </si>
  <si>
    <t>传讯术</t>
  </si>
  <si>
    <t>一段铜线</t>
  </si>
  <si>
    <t>你用指向施法距离内的一名生物并低声说出一段信息。该目标（且只有该目标）会听到这段信息，并且可以用只有你能听见的低语回复你。
你可以隔着固态物件施展此法术，但你必须熟悉法术目标并知晓其就在阻挡物后方。魔法性的沉默效应，1尺厚的石头、金属或木料，或是一片薄铅都可以阻挡此法术。</t>
  </si>
  <si>
    <t>Message</t>
  </si>
  <si>
    <t>心灵之楔</t>
  </si>
  <si>
    <t>1轮</t>
  </si>
  <si>
    <t>指定施法距离内一个你可见的生物，你试图暂时刺入目标的心灵。目标必须通过一次智力豁免 。豁免失败将受到1d6点心灵伤害，并且其在你的下回合结束前，进行的下一次豁免检定将获得1d4减值。
戏法强化： 到达特定等级后，此戏法的伤害将增加1d6：5级（2d6）、11级（3d6）、17级（4d6）。</t>
  </si>
  <si>
    <t>Mind Sliver</t>
  </si>
  <si>
    <t>次级幻象</t>
  </si>
  <si>
    <t>一撮羊毛</t>
  </si>
  <si>
    <r>
      <rPr>
        <sz val="11"/>
        <color theme="1"/>
        <rFont val="仿宋"/>
        <family val="3"/>
        <charset val="134"/>
      </rPr>
      <t>你在施法距离内创造一段声响或一个物件的影像，并使之维持至法术持续时间结束，详见以下对应效应的描述。你可以再次施展该法术来终止幻象。
生物用研究动作调查该声响或影像时，其必须进行一次对抗该法术豁免 DC 的智力（调查）检定，检定成功则判断出是幻象。对于识破幻象的生物而言，幻象会变得模糊不清。
　　</t>
    </r>
    <r>
      <rPr>
        <sz val="11"/>
        <color theme="1"/>
        <rFont val="Arial"/>
        <family val="2"/>
      </rPr>
      <t>•</t>
    </r>
    <r>
      <rPr>
        <sz val="11"/>
        <color theme="1"/>
        <rFont val="仿宋"/>
        <family val="3"/>
        <charset val="134"/>
      </rPr>
      <t xml:space="preserve"> 声响Sound。如果你创造一段声响，其音量可以是低声耳语也可以是高声尖叫。它可以是你或其他任何人的嗓音，或者是一头狮子的咆哮、一段鼓声以及任何你指定的其它声响。声响在持续时间内不会减弱，或者你也可以于法术终止前在不同的时间段创造几段分散的声响。
　　</t>
    </r>
    <r>
      <rPr>
        <sz val="11"/>
        <color theme="1"/>
        <rFont val="Arial"/>
        <family val="2"/>
      </rPr>
      <t>•</t>
    </r>
    <r>
      <rPr>
        <sz val="11"/>
        <color theme="1"/>
        <rFont val="仿宋"/>
        <family val="3"/>
        <charset val="134"/>
      </rPr>
      <t xml:space="preserve"> 影像Image。如果你创造一个物件的影像，比如一把椅子、泥泞的脚印、一个小箱子等，则该物件各方向上大小不得大于5尺立方区域。该影像不具有声音、光亮、味道或任何其他的感官效应。由于影像可以被任何物体穿透，因此与之进行物理互动时都会揭露其幻象的本质。</t>
    </r>
  </si>
  <si>
    <t>Minor Illusion</t>
  </si>
  <si>
    <t>毒气喷涌</t>
  </si>
  <si>
    <t>你向施法距离内一个你可见的生物喷出一股毒气。对目标进行一次远程法术攻击。命中时，目标将受1d12点毒素伤害。
戏法强化： 到达特定等级后，此戏法的伤害将增加1d12：5级（2d12）、11级（3d12）、17级（4d12）。</t>
  </si>
  <si>
    <t>Poison Spray</t>
  </si>
  <si>
    <t>魔法伎俩</t>
  </si>
  <si>
    <t>至多1小时</t>
  </si>
  <si>
    <r>
      <rPr>
        <sz val="11"/>
        <color theme="1"/>
        <rFont val="仿宋"/>
        <family val="3"/>
        <charset val="134"/>
      </rPr>
      <t>你在施法距离内创造一个魔法效应。从下述效应中选择一项。如果你多次施展该法术，则可以同时维持至多三个不同的非即时效应。
　　</t>
    </r>
    <r>
      <rPr>
        <sz val="11"/>
        <color theme="1"/>
        <rFont val="Arial"/>
        <family val="2"/>
      </rPr>
      <t>•</t>
    </r>
    <r>
      <rPr>
        <sz val="11"/>
        <color theme="1"/>
        <rFont val="仿宋"/>
        <family val="3"/>
        <charset val="134"/>
      </rPr>
      <t xml:space="preserve"> 感官效应Sensory Effect。 你创造一个立即生效的，无害的感官效应，比如一束火花，一阵风，微弱音乐或古怪的臭味。
　　</t>
    </r>
    <r>
      <rPr>
        <sz val="11"/>
        <color theme="1"/>
        <rFont val="Arial"/>
        <family val="2"/>
      </rPr>
      <t>•</t>
    </r>
    <r>
      <rPr>
        <sz val="11"/>
        <color theme="1"/>
        <rFont val="仿宋"/>
        <family val="3"/>
        <charset val="134"/>
      </rPr>
      <t xml:space="preserve"> 玩火Fire Play。 你立即点燃或熄灭一根蜡烛、一根火把或一处小篝火。
　　</t>
    </r>
    <r>
      <rPr>
        <sz val="11"/>
        <color theme="1"/>
        <rFont val="Arial"/>
        <family val="2"/>
      </rPr>
      <t>•</t>
    </r>
    <r>
      <rPr>
        <sz val="11"/>
        <color theme="1"/>
        <rFont val="仿宋"/>
        <family val="3"/>
        <charset val="134"/>
      </rPr>
      <t xml:space="preserve"> 清洁或弄脏Clean or Soil。 你立即清洁或弄脏一个体积不大于1立方尺的物件。
　　</t>
    </r>
    <r>
      <rPr>
        <sz val="11"/>
        <color theme="1"/>
        <rFont val="Arial"/>
        <family val="2"/>
      </rPr>
      <t>•</t>
    </r>
    <r>
      <rPr>
        <sz val="11"/>
        <color theme="1"/>
        <rFont val="仿宋"/>
        <family val="3"/>
        <charset val="134"/>
      </rPr>
      <t xml:space="preserve"> 次级感觉Minor Sensation。 你使一个不大于1立方尺的非活体物质变冷、变暖或对其调味，持续1小时。
　　</t>
    </r>
    <r>
      <rPr>
        <sz val="11"/>
        <color theme="1"/>
        <rFont val="Arial"/>
        <family val="2"/>
      </rPr>
      <t>•</t>
    </r>
    <r>
      <rPr>
        <sz val="11"/>
        <color theme="1"/>
        <rFont val="仿宋"/>
        <family val="3"/>
        <charset val="134"/>
      </rPr>
      <t xml:space="preserve"> 魔法印记Magic Mark。 你在一个物件或一个表面上创造一块色斑，一个小印记，或者一个徽记，持续1小时。
　　</t>
    </r>
    <r>
      <rPr>
        <sz val="11"/>
        <color theme="1"/>
        <rFont val="Arial"/>
        <family val="2"/>
      </rPr>
      <t>•</t>
    </r>
    <r>
      <rPr>
        <sz val="11"/>
        <color theme="1"/>
        <rFont val="仿宋"/>
        <family val="3"/>
        <charset val="134"/>
      </rPr>
      <t xml:space="preserve"> 次级造物Minor Creation。 你创造出一个非魔法小饰品或一张虚幻图像，其大小不能超过你的手掌大小，它会持续存在至下个你的回合结束为止。一个小饰品不能造成伤害，也不值任何钱。</t>
    </r>
  </si>
  <si>
    <t>Prestidigitation</t>
  </si>
  <si>
    <t>燃火术</t>
  </si>
  <si>
    <t>附赠动作</t>
  </si>
  <si>
    <t>10分钟</t>
  </si>
  <si>
    <t>一朵摇曳的火焰出现在你手中，火焰会存在至法术持续时间结束为止。火焰在你手中期间，不会散发任何热量也不会点燃任何东西，发出20尺半径的明亮光照，以及其外20尺范围的微光光照 。此法术会在你再次施展它时提前终止。
直到法术结束为止，你可以用魔法动作向60尺内的一名生物或一个物件丢出火焰。进行一次远程法术攻击。命中时，目标将受到1d8点火焰伤害。
戏法强化： 到达特定等级后，此戏法的伤害将增加1d8：5级（2d8）、11级（3d8）、17级（4d8）。</t>
  </si>
  <si>
    <t>Produce Flame</t>
  </si>
  <si>
    <t>冷冻射线</t>
  </si>
  <si>
    <t>一道蓝白色的冰冷光束朝施法距离内的一名生物射去。对目标进行一次远程法术攻击。命中时，目标将受到1d8点寒冷伤害，且其速度将被减少10尺，直到你的下一回合开始为止。
戏法强化： 到达特定等级后，此戏法的伤害将增加1d8：5级（2d8）、11级（3d8）、17级（4d8）。</t>
  </si>
  <si>
    <t>Ray of Frost</t>
  </si>
  <si>
    <t>抵抗术</t>
  </si>
  <si>
    <t>你触碰一名自愿生物并选择一种伤害类型：强酸、钝击、寒冷、火焰、闪电、暗蚀、穿刺、毒素、光耀、挥砍、雷鸣。在此法术结束之前，每当该生物受到所选类型伤害时，那名生物所受的总伤害减少1d4。一名生物一回合只能受到一次该法术的增益。</t>
  </si>
  <si>
    <t>Resistance</t>
  </si>
  <si>
    <t>圣火术</t>
  </si>
  <si>
    <t>如同烈焰般的辉光向着施法距离内你能看见的一名生物倾泻而下。目标必须要通过一次敏捷豁免，否则将受到1d8点光耀伤害。在这次豁免检定中，目标无法享受来自半身掩护和四分之三掩护 的增益。
戏法强化：该法术的伤害会在你达到下列等级时增加1d8：5级（2d8），11 级（3d8），17 级1d8（4d8）。</t>
  </si>
  <si>
    <t>Sacred Flame</t>
  </si>
  <si>
    <t>橡棍术</t>
  </si>
  <si>
    <t>槲寄生</t>
  </si>
  <si>
    <t>你将自然之力灌入手中持握的一根短棒或长棍中。你在法术持续时间内使用该武器进行近战攻击时，可以用你的施法属性代替力量属性来进行攻击检定和伤害掷骰，且该武器的伤害骰变为d8。此类攻击造成伤害时，你可以选择将其伤害类型改为力场伤害，或是维持武器原本的伤害类型。你再次施展该法术或丢掉该武器时，该法术也随之终止。
戏法强化： 到达特定等级后，受术武器的伤害骰会改变：5级（1d10），11级（1d12），17级（2d6）。</t>
  </si>
  <si>
    <t>Shillelagh</t>
  </si>
  <si>
    <t>电爪</t>
  </si>
  <si>
    <t>你放出闪电，击向一名你试图触碰的生物。对目标发动一次近战法术攻击。若命中，则目标受到 1d8 点闪电伤害，并且在其下一回合开始前不能执行借机攻击。
戏法强化： 到达特定等级后，此戏法的伤害将增加1d8：5级（2d8）、11级（3d8）、17级（4d8）。</t>
  </si>
  <si>
    <t>Shocking Grasp</t>
  </si>
  <si>
    <t>术法爆发</t>
  </si>
  <si>
    <t>你向施法距离内的一名生物或一个物件施展术法能量。对目标进行一次远程攻击检定，命中时，目标将受到1d8点伤害。由你选择法术造成何种类型的伤害：强酸，寒冷，火焰，闪电，毒素，心灵或雷鸣。
如果你在此法术的任一d8骰上丢出了8，你便可以立刻再丢一枚d8，并将其加入此法术的伤害中。施展此法术时，你最多以此法造成的额外d8伤害骰数量等同于你的施法属性调整值。
戏法强化：到达特定等级后，此戏法的初始伤害将增加1d8：5级（2d8）、11级（3d8）、17级（4d8）。</t>
  </si>
  <si>
    <t>Sorcerous Burst</t>
  </si>
  <si>
    <t>维生术</t>
  </si>
  <si>
    <t>15尺</t>
  </si>
  <si>
    <t>选择一个生命值为0但还未死亡的生物，使该生物变为伤势稳定。
戏法强化：到达特定等级后，此法术的施法距离将翻倍：5级（30尺），11级（60尺），17级（120尺）。</t>
  </si>
  <si>
    <t>Spare the Dying</t>
  </si>
  <si>
    <t>点点星芒</t>
  </si>
  <si>
    <t>你对施法距离内一名生物或一个物件射出一点光芒。对目标进行一次远程法术攻击。命中时，目标将受到1d8点光耀伤害，并且直到你的下个回合结束前，它会散发出10尺微光光照，且无法受益于隐形 状态。
戏法强化：到达特定等级后，此戏法的伤害将增加1d8：5级（2d8），11 级（3d8），17 级1d8（4d8）。</t>
  </si>
  <si>
    <t>Starry Wisp</t>
  </si>
  <si>
    <t>奇术</t>
  </si>
  <si>
    <r>
      <rPr>
        <sz val="11"/>
        <color theme="1"/>
        <rFont val="仿宋"/>
        <family val="3"/>
        <charset val="134"/>
      </rPr>
      <t>你在施法距离内显现一道次级奇迹。你在施法距离内创造下述效应之一。如果你多次施展该法术，则可以同时维持至多三个不同的1分钟效应。
　　</t>
    </r>
    <r>
      <rPr>
        <sz val="11"/>
        <color theme="1"/>
        <rFont val="Arial"/>
        <family val="2"/>
      </rPr>
      <t>•</t>
    </r>
    <r>
      <rPr>
        <sz val="11"/>
        <color theme="1"/>
        <rFont val="仿宋"/>
        <family val="3"/>
        <charset val="134"/>
      </rPr>
      <t xml:space="preserve"> 改变眼睛Altered Eyes。 你改变自己眼睛的外观，其效应持续1分钟。
　　</t>
    </r>
    <r>
      <rPr>
        <sz val="11"/>
        <color theme="1"/>
        <rFont val="Arial"/>
        <family val="2"/>
      </rPr>
      <t>•</t>
    </r>
    <r>
      <rPr>
        <sz val="11"/>
        <color theme="1"/>
        <rFont val="仿宋"/>
        <family val="3"/>
        <charset val="134"/>
      </rPr>
      <t xml:space="preserve"> 扩音Booming Voice。 你的语音音量变为通常情况下的三倍大，其效应持续1分钟。在此期间，你在魅力（威吓）检定上具有优势 。
</t>
    </r>
    <r>
      <rPr>
        <b/>
        <sz val="11"/>
        <color theme="1"/>
        <rFont val="仿宋"/>
        <family val="3"/>
        <charset val="134"/>
      </rPr>
      <t>　　</t>
    </r>
    <r>
      <rPr>
        <b/>
        <sz val="11"/>
        <color theme="1"/>
        <rFont val="Arial"/>
        <family val="2"/>
      </rPr>
      <t>•</t>
    </r>
    <r>
      <rPr>
        <b/>
        <sz val="11"/>
        <color theme="1"/>
        <rFont val="仿宋"/>
        <family val="3"/>
        <charset val="134"/>
      </rPr>
      <t xml:space="preserve"> </t>
    </r>
    <r>
      <rPr>
        <sz val="11"/>
        <color theme="1"/>
        <rFont val="仿宋"/>
        <family val="3"/>
        <charset val="134"/>
      </rPr>
      <t>玩火Fire Play。 你使一团火焰闪烁、变亮、变暗或变色，其效应持续1分钟。
　　</t>
    </r>
    <r>
      <rPr>
        <sz val="11"/>
        <color theme="1"/>
        <rFont val="Arial"/>
        <family val="2"/>
      </rPr>
      <t>•</t>
    </r>
    <r>
      <rPr>
        <sz val="11"/>
        <color theme="1"/>
        <rFont val="仿宋"/>
        <family val="3"/>
        <charset val="134"/>
      </rPr>
      <t xml:space="preserve"> 看不见的手Invisible Hand。 你使一扇没有上锁的门/窗立即打开或关上。
　　</t>
    </r>
    <r>
      <rPr>
        <sz val="11"/>
        <color theme="1"/>
        <rFont val="Arial"/>
        <family val="2"/>
      </rPr>
      <t>•</t>
    </r>
    <r>
      <rPr>
        <sz val="11"/>
        <color theme="1"/>
        <rFont val="仿宋"/>
        <family val="3"/>
        <charset val="134"/>
      </rPr>
      <t xml:space="preserve"> 幻音Phantom Sound。 指定施法距离内的一点，你使该点发出一道短暂的声音，例如雷鸣声，渡鸦叫声或不祥低语声。
　　</t>
    </r>
    <r>
      <rPr>
        <sz val="11"/>
        <color theme="1"/>
        <rFont val="Arial"/>
        <family val="2"/>
      </rPr>
      <t>•</t>
    </r>
    <r>
      <rPr>
        <sz val="11"/>
        <color theme="1"/>
        <rFont val="仿宋"/>
        <family val="3"/>
        <charset val="134"/>
      </rPr>
      <t xml:space="preserve"> 震动Tremors。 你在地面上引发无害的震动，其效应持续1分钟。</t>
    </r>
  </si>
  <si>
    <t>Thaumaturgy</t>
  </si>
  <si>
    <t>荆棘之鞭</t>
  </si>
  <si>
    <t>一根带刺植物茎</t>
  </si>
  <si>
    <t>你创造出一条藤蔓般的带刺长鞭，并猛抽向施法距离内一个你指定的生物。对目标进行一次近战法术攻击，命中时，目标将受到1d6点穿刺伤害，如果目标生物的体型不超过大型，则你还可以将其朝你所在位置拉近至多10尺。
戏法强化：到达特定等级后，此戏法的伤害将增加1d6：5级（2d6）、11级（3d6）、17级（4d6）。</t>
  </si>
  <si>
    <t>Thorn Whip</t>
  </si>
  <si>
    <t>鸣雷破</t>
  </si>
  <si>
    <t>位于以你为原点5尺光环区域内的每名生物必须成功于一次体质豁免，否则受到1d6点雷鸣伤害。此法术会创造出在100尺内都能听见的巨大声响。
戏法强化：到达特定等级后，此戏法的伤害将增加1d6：5级（2d6）、11级（3d6）、17级（4d6）。</t>
  </si>
  <si>
    <t>Thunderclap</t>
  </si>
  <si>
    <t>亡者丧钟</t>
  </si>
  <si>
    <t>你对着施法距离内一名你可见的生物一指，随后目标10尺内响起一阵哀恸的钟鸣在距。目标必须通过一次感知豁免，否则将受到1d8点暗蚀伤害。若目标豁免失败时已损失任意数量生命值，则改为令其受到1d12点暗蚀伤害。
戏法强化：到达特定等级后，此戏法的伤害骰将增加一枚：5级（2d8或2d12）、11级（3d8或3d12）、17级（4d8或4d12）。</t>
  </si>
  <si>
    <t>Toll the Dead</t>
  </si>
  <si>
    <t>克敌先击</t>
  </si>
  <si>
    <t>一把价值1+CP的你熟练的武器</t>
  </si>
  <si>
    <t>你受到一瞬魔法洞见的指引，使用施展此法术时使用的那把武器发动一次攻击。此次攻击使用你的施法属性（而非力量属性或敏捷属性）进行攻击检定与伤害掷骰。此次攻击造成伤害时，你可以选择将其伤害类型改为光耀伤害，或是维持武器原本的伤害类型。
戏法强化：到达特定等级后，无论你选择造成光耀伤害还是原本类型的伤害，本次攻击都会额外造成光耀伤害：5级（1d6点）、11级（2d6点）、17级（3d6点）。</t>
  </si>
  <si>
    <t>True Strike</t>
  </si>
  <si>
    <t>恶言相加</t>
  </si>
  <si>
    <t>你对施法距离内一名你可见或可听的生物连珠炮式地释出一串蕴涵微妙惑控的侮辱。目标必须通过一次感知豁免，否则受到1d6点心灵伤害，且在其下一回合结束前，其进行的下一次攻击检定具有劣势。
戏法强化：到达特定等级后，此戏法的伤害将增加1d6：5级（2d6）、11级（3d6）、17级（4d6）。</t>
  </si>
  <si>
    <t>Vicious Mockery</t>
  </si>
  <si>
    <t>光耀祷词</t>
  </si>
  <si>
    <t>一枚艳阳标志</t>
  </si>
  <si>
    <t>灼热的光辉喷薄而出，覆盖你周身5尺光环区域。每个区域中你可见且受你选择的生物必须通过一次体质豁免，否则受到1d6点光耀伤害。
戏法强化：到达特定等级后，此戏法的伤害将增加1d6：5级（2d6）、11级（3d6）、17级（4d6）。</t>
  </si>
  <si>
    <t>Word of Radiance</t>
  </si>
  <si>
    <t>警报术</t>
  </si>
  <si>
    <t>1 分钟或仪式</t>
  </si>
  <si>
    <t>一个小铃铛和一小段银线</t>
  </si>
  <si>
    <t>8小时</t>
  </si>
  <si>
    <r>
      <rPr>
        <sz val="11"/>
        <color theme="1"/>
        <rFont val="仿宋"/>
        <family val="3"/>
        <charset val="134"/>
      </rPr>
      <t>你设置一个针对不速之客的警报。在施法距离内指定一扇门窗或选择一个边长不大于20 尺的立方区域。在法术持续时间内，任何触碰或进入被法术保护区域的生物都会触发警报。施法时，你可以决定哪些生物不会触发警报，还可以选择警报方式为声音警报或是精神警报。
　　</t>
    </r>
    <r>
      <rPr>
        <sz val="11"/>
        <color theme="1"/>
        <rFont val="Arial"/>
        <family val="2"/>
      </rPr>
      <t>•</t>
    </r>
    <r>
      <rPr>
        <sz val="11"/>
        <color theme="1"/>
        <rFont val="仿宋"/>
        <family val="3"/>
        <charset val="134"/>
      </rPr>
      <t xml:space="preserve"> 声音警报Audible Alarm。警报将在其保护区域 60 尺范围内将响起持续 10 秒摇铃声。
　　</t>
    </r>
    <r>
      <rPr>
        <sz val="11"/>
        <color theme="1"/>
        <rFont val="Arial"/>
        <family val="2"/>
      </rPr>
      <t>•</t>
    </r>
    <r>
      <rPr>
        <sz val="11"/>
        <color theme="1"/>
        <rFont val="仿宋"/>
        <family val="3"/>
        <charset val="134"/>
      </rPr>
      <t xml:space="preserve"> 精神警报Mental Alarm。 如果你距离目标区域不超过 1 里，警报会在你脑海中会传来“乒”的警报声。如果你在睡觉，则警报将使你惊醒。</t>
    </r>
  </si>
  <si>
    <t>Alarm</t>
  </si>
  <si>
    <t>化兽为友</t>
  </si>
  <si>
    <t>一点食物</t>
  </si>
  <si>
    <t>24小时</t>
  </si>
  <si>
    <t>在施法距离内指定一只你能看见的野兽。该野兽必须通过一次感知豁免，否则在法术持续时间内陷入魅惑状态。如果你或你的盟友对目标造成伤害，法术将提前终止。
升环施法：你使用的法术位每比一环高一环，就可以多选择一个野兽作为目标。</t>
  </si>
  <si>
    <t>Animal Friendship</t>
  </si>
  <si>
    <t>黯冰狱铠</t>
  </si>
  <si>
    <t>一块蓝色玻璃碎片</t>
  </si>
  <si>
    <t>防护性的魔法寒霜包裹着你。 你获得5点临时生命值 。如果有生物在法术结束之前以近战攻击命中你，则该生物将受到5点冷冻伤害。此法术会在你已不具有任何来源的临时生命值 时提前结束。
升环施法：你使用的法术位每比一环高一环，临时生命和冷冻伤害就各增加 5 点。</t>
  </si>
  <si>
    <t>Armor of Agathys</t>
  </si>
  <si>
    <t>哈达之臂</t>
  </si>
  <si>
    <t>你祈唤哈达的力量，让触须从你身上蔓延而出。以你为源点的10尺光环 区域内，每个生物都必须进行一次力量豁免。豁免失败的生物将受到2d6点暗蚀伤害，并其直到下一回合前都无法执行反应。豁免成功的生物仅受到一半伤害。
升环施法： 你使用的法术位每比一环高一环，法术的伤害就增加1d6点。</t>
  </si>
  <si>
    <t>Arms of Hadar</t>
  </si>
  <si>
    <t>灾祸术</t>
  </si>
  <si>
    <t>一滴血</t>
  </si>
  <si>
    <t>你选择施法距离内至多三个你可见的生物，迫使其分别进行一次魅力豁免。在法术终止前，豁免失败于此次魅力豁免的目标进行的每次攻击检定与豁免检定都必须承受1d4的减值。
升环施法：你使用的法术位每比一环高一环，就能多选择一个生物作为目标。</t>
  </si>
  <si>
    <t>Bane</t>
  </si>
  <si>
    <t>祝福术</t>
  </si>
  <si>
    <t>一枚价值5+GP的圣徽</t>
  </si>
  <si>
    <t>你祝福施法范围内至多三个生物。在法术终止前，受术目标进行的每次攻击检定与豁免检定都将获得1d4的加值。
升环施法：你使用的法术位每比一环高一环，就能多选择一个生物作为目标。</t>
  </si>
  <si>
    <t>Bless</t>
  </si>
  <si>
    <t>燃烧之手</t>
  </si>
  <si>
    <t>你向前喷射出一片火焰。处于15尺锥状区域内的生物必须进行一次敏捷豁免。豁免失败者受到3d6点火焰伤害，豁免成功者受到一半伤害。
在此锥状区域内的未被着装或携带的易燃物件会开始燃烧。
升环施法：你使用的法术位每比一环高一环，此法术的伤害就会提升1d6点。</t>
  </si>
  <si>
    <t>Burning Hands</t>
  </si>
  <si>
    <t>魅惑类人</t>
  </si>
  <si>
    <t>选择法术距离内你可见的一名类人生物，迫使该生物进行一次感知豁免，如果你或者你的同伴正在与它战斗，它进行的这次豁免将具有优势。如果它豁免失败，它陷入魅惑状态直到法术结束，或者直到你或你的同伴对它造成伤害。被魅惑的生物将对你友好。在法术结束时，生物会知道它曾被你魅惑。
升环施法：使用的法术位每高一环，你就可以额外选择一个生物作为目标。</t>
  </si>
  <si>
    <t>Charm Person</t>
  </si>
  <si>
    <t>繁彩球</t>
  </si>
  <si>
    <t>90尺</t>
  </si>
  <si>
    <t>一枚价值50GP+的钻石</t>
  </si>
  <si>
    <t>你向施法距离内某个目标掷出一颗能量球。从强酸、寒冷、火焰、闪电、毒素、雷鸣中选择一个作为创造出来的球体的伤害类型，然后对该目标发动一次远程法术攻击。命中时，该目标将受到 3d8 点你所选类型的伤害。
如果你的d8骰中有两枚（或更多）投出了相同的数字，能量球将会从原目标跃向其周围30尺内由你所选择的另一个目标。你需要对新目标再进行一次攻击检定，然后进行一次新的伤害掷骰。能量球无法再次进行此种跳跃，除非你施展此法术时使用了环阶2+的法术位。
升环施法：使用的法术位每高一环，法术的伤害就增加1d8点。能量球能够跳跃的最大次数等同于所消耗的法术位环阶，但每次施展此法术时，每名生物只能被指定为此法术目标一次。</t>
  </si>
  <si>
    <t>Chromatic Orb</t>
  </si>
  <si>
    <t>七彩喷射</t>
  </si>
  <si>
    <t>一撮彩色沙子</t>
  </si>
  <si>
    <t>你射出一道炫目的闪耀彩光。以你为源点的15尺锥状区域内的每个生物必须成功通过一次体质豁免，否则陷入目盲状态，持续至下个你的回合结束。</t>
  </si>
  <si>
    <t>Color Spray</t>
  </si>
  <si>
    <t>命令术</t>
  </si>
  <si>
    <r>
      <rPr>
        <sz val="11"/>
        <color theme="1"/>
        <rFont val="仿宋"/>
        <family val="3"/>
        <charset val="134"/>
      </rPr>
      <t>你对施法距离内一个你能看见的生物说出一个单词的命令。目标生物必须通过一次感知豁免，否则在它自己的下一回合中，其必须服从这道命令行事。从以下选项中选择一条命令：
　　</t>
    </r>
    <r>
      <rPr>
        <sz val="11"/>
        <color theme="1"/>
        <rFont val="Arial"/>
        <family val="2"/>
      </rPr>
      <t>•</t>
    </r>
    <r>
      <rPr>
        <sz val="11"/>
        <color theme="1"/>
        <rFont val="仿宋"/>
        <family val="3"/>
        <charset val="134"/>
      </rPr>
      <t xml:space="preserve"> 过来Approach。目标以最短最直接的路线向你移动，若其到达你5尺范围内，其会结束自己的回合。
　　</t>
    </r>
    <r>
      <rPr>
        <sz val="11"/>
        <color theme="1"/>
        <rFont val="Arial"/>
        <family val="2"/>
      </rPr>
      <t>•</t>
    </r>
    <r>
      <rPr>
        <sz val="11"/>
        <color theme="1"/>
        <rFont val="仿宋"/>
        <family val="3"/>
        <charset val="134"/>
      </rPr>
      <t xml:space="preserve"> 放下Drop。目标放下持握的任何东西，然后结束自己的回合。
　　</t>
    </r>
    <r>
      <rPr>
        <sz val="11"/>
        <color theme="1"/>
        <rFont val="Arial"/>
        <family val="2"/>
      </rPr>
      <t>•</t>
    </r>
    <r>
      <rPr>
        <sz val="11"/>
        <color theme="1"/>
        <rFont val="仿宋"/>
        <family val="3"/>
        <charset val="134"/>
      </rPr>
      <t xml:space="preserve"> 走开Flee。目标消耗其整个回合，以最快最有效的方式远离你。
　　</t>
    </r>
    <r>
      <rPr>
        <sz val="11"/>
        <color theme="1"/>
        <rFont val="Arial"/>
        <family val="2"/>
      </rPr>
      <t>•</t>
    </r>
    <r>
      <rPr>
        <sz val="11"/>
        <color theme="1"/>
        <rFont val="仿宋"/>
        <family val="3"/>
        <charset val="134"/>
      </rPr>
      <t xml:space="preserve"> 趴下Grovel。目标陷入倒地状态并结束自己的回合。
　　</t>
    </r>
    <r>
      <rPr>
        <sz val="11"/>
        <color theme="1"/>
        <rFont val="Arial"/>
        <family val="2"/>
      </rPr>
      <t>•</t>
    </r>
    <r>
      <rPr>
        <sz val="11"/>
        <color theme="1"/>
        <rFont val="仿宋"/>
        <family val="3"/>
        <charset val="134"/>
      </rPr>
      <t xml:space="preserve"> 立定Halt。在其回合内，目标不进行移动且不作任何动作和附赠动作。
升环施法：你使用的法术位每比一环高一环，法术就能多影响一个目标。</t>
    </r>
  </si>
  <si>
    <t>Command</t>
  </si>
  <si>
    <t>强令对决</t>
  </si>
  <si>
    <t>你尝试强令一个生物与你决斗。选择施法距离内一个你能看见的生物，该生物必须通过一次感知豁免，豁免失败的情况下，该生物对除你之外任何生物发动攻击检定时都具有劣势，且该生物不能自主移动到距离你超过30尺的位置。
当你攻击另一个生物时，或者当你对另一个敌对生物施展法术时，又或者当一个你的盟友对该目标造成伤害或者对其施展伤害性法术时，又或者你在距离该目标超过 30 尺的位置结束你的回合时，该法术终止。</t>
  </si>
  <si>
    <t>Compelled Duel</t>
  </si>
  <si>
    <t>通晓语言</t>
  </si>
  <si>
    <t>动作或仪式</t>
  </si>
  <si>
    <t>一撮煤灰和盐</t>
  </si>
  <si>
    <t>你在法术持续时间内知晓你所听到或看到手语的所有语言的字面意义。你也可以通过触碰书写的文字来读懂其字面意义。以这种方式阅读每页文字需要花费 1 分钟的时间。这个法术并不能解读符号和暗语。</t>
  </si>
  <si>
    <t>Comprehend Languages</t>
  </si>
  <si>
    <t>造水术/枯水术</t>
  </si>
  <si>
    <t>水沙混合物</t>
  </si>
  <si>
    <r>
      <rPr>
        <sz val="11"/>
        <color theme="1"/>
        <rFont val="仿宋"/>
        <family val="3"/>
        <charset val="134"/>
      </rPr>
      <t>你选择其一执行：
　　</t>
    </r>
    <r>
      <rPr>
        <sz val="11"/>
        <color theme="1"/>
        <rFont val="Arial"/>
        <family val="2"/>
      </rPr>
      <t>•</t>
    </r>
    <r>
      <rPr>
        <sz val="11"/>
        <color theme="1"/>
        <rFont val="仿宋"/>
        <family val="3"/>
        <charset val="134"/>
      </rPr>
      <t xml:space="preserve"> 造水术Create Water。你在施法距离内一个打开的容器中创造至多10加仑干净的水。作为另一种选项，你使施法距离内一处30尺的立方 区域降下雨水并浇灭区域内不受遮盖的火焰。
　　</t>
    </r>
    <r>
      <rPr>
        <sz val="11"/>
        <color theme="1"/>
        <rFont val="Arial"/>
        <family val="2"/>
      </rPr>
      <t>•</t>
    </r>
    <r>
      <rPr>
        <sz val="11"/>
        <color theme="1"/>
        <rFont val="仿宋"/>
        <family val="3"/>
        <charset val="134"/>
      </rPr>
      <t xml:space="preserve"> 枯水术Destroy Water。你使施法距离内一个打开的容器里至多10加仑水枯竭不见。作为另一种选项，你使施法距离内一片30尺立方 区域的浓雾消失不见。
升环施法： 使用的法术位每比一环高一环，法术就多创造或多枯竭10加仑额外的水分，另一种选项能影响的立方 区域边长增加5尺。</t>
    </r>
  </si>
  <si>
    <t>Create or Destroy Water</t>
  </si>
  <si>
    <t>疗伤术</t>
  </si>
  <si>
    <t>你触碰的一名生物恢复等同于2d8+你施法属性调整值点生命值。
升环施法：使用的法术位每比一环高一环，此法术的治疗量就增加2d8点。</t>
  </si>
  <si>
    <t>Cure Wounds</t>
  </si>
  <si>
    <t>侦测善恶</t>
  </si>
  <si>
    <t>专注，至多10分钟</t>
  </si>
  <si>
    <t>在法术持续时间内，你定位距你30尺内任何异怪、天族、元素、妖精、邪魔、亡灵。你也可以感知到范围内是否具有激活的圣居Hallow并确定其位置。
此法术会被1尺厚的岩石、泥土或木头，1寸厚的金属，或薄薄一层铅阻隔。</t>
  </si>
  <si>
    <t>Detect Evil and Good</t>
  </si>
  <si>
    <t>在法术持续时间内，你感受到距你30尺内的魔法效应。若你感知到了此类效应，则你可以用一个魔法动作以看到任何带有此魔法的可见生物或物件周围环绕着微弱的灵光，且若此魔法属于被法术创造的效应，则你可分辨出其所属的魔法学派。
此法术会被1尺厚的岩石、泥土或木头，1寸厚的金属，或薄薄一层铅阻隔。</t>
  </si>
  <si>
    <t>Detect Magic</t>
  </si>
  <si>
    <t>侦测毒性和疾病</t>
  </si>
  <si>
    <t>一片紫杉叶</t>
  </si>
  <si>
    <t>在法术持续时间内，你定位距你30尺内的毒药、有毒生物和魔法疫病。你可以感知到毒药、有毒生物和疫病的种类。
此法术会被1尺厚的岩石、泥土或木头，1寸厚的金属，或薄薄一层铅阻隔。</t>
  </si>
  <si>
    <t>Detect Poison and Disease</t>
  </si>
  <si>
    <t>易容术</t>
  </si>
  <si>
    <t>你改变自身以及随身的衣物、护甲、武器等在你身上的所有物。该效应在法术终止时结束。肉眼看来你的身高可以有1尺的增减，体态可胖可瘦。你必须选择一个和你肢体基础排列方式一致的形态。此外，幻术的影响范围由你决定。
此法术产生的变化无法应对物理检查。比如，你用此法术添了一顶帽子，那么现实物件会从帽子穿过去，且任何触碰帽子的人将摸不到任何东西。
如果一名生物想要分辨你是否易容，则必须使用一个研究动作研究你的外貌，并成功于一次对抗你法术豁免DC的智力（调查）检定。</t>
  </si>
  <si>
    <t>Disguise Self</t>
  </si>
  <si>
    <t>不谐低语</t>
  </si>
  <si>
    <t>一名施法距离内你选择的可见生物的心灵中听见一段不协和旋律。目标进行一次感知豁免。豁免失败则受到3d6点心灵伤害，并立即执行其反应（若可用）尽可能往远离你的方向移动，并采取最安全的路径。豁免成功则只受一半伤害。
升环施法：使用的法术位每比一环高一环，伤害就提高1d6。</t>
  </si>
  <si>
    <t>Dissonant Whispers</t>
  </si>
  <si>
    <t>神恩</t>
  </si>
  <si>
    <t>直到法术结束之前，你使用武器的攻击在命中时造成额外1d4点光耀伤害。</t>
  </si>
  <si>
    <t>Divine Favor</t>
  </si>
  <si>
    <t>至圣斩</t>
  </si>
  <si>
    <t>附赠动作，当你使用近战武器或徒手打击命中一个生物后立即执行</t>
  </si>
  <si>
    <t>被该次攻击检定命中的目标会在此次攻击中额外受到2d8点光耀伤害。若目标为邪魔生物或亡灵生物，则此伤害增加1d8。
升环施法：使用的法术位每比一环高一环，此法术的伤害就提高1d8。</t>
  </si>
  <si>
    <t>Divine Smite</t>
  </si>
  <si>
    <t>捕获打击</t>
  </si>
  <si>
    <t>附赠动作，在你用武器命中目标后立即可用</t>
  </si>
  <si>
    <t>你命中目标时，目标身上出现一根紧紧将其攫住的藤蔓，使其进行一次力量豁免，大型及更大体型的生物进行该豁免时具有优势。豁免失败，则目标将直到法术结束为止陷入束缚状态。豁免成功，则藤蔓立即枯萎，法术结束。
处于束缚状态期间，目标在其每回合开始受到1d6点穿刺伤害。目标或其他位于其触及内的生物可用一个动作进行一次对抗法术豁免DC的力量（运动）检定。检定成功则法术结束。
升环施法：使用的法术位每比一环高一环，此法术的伤害就提高1d6点。</t>
  </si>
  <si>
    <t>Ensnaring Strike</t>
  </si>
  <si>
    <t>纠缠术</t>
  </si>
  <si>
    <t>缠绕的植物在施法距离内从20尺方状区域地面中破土而出。在法术持续时间内，这片被植物覆盖的区域变为困难地形 。法术结束时，这些植物会消失。
在你施展法术时，该区域内的生物（除你之外）必须成功于一次力量豁免，否则陷入束缚状态，直到法术终止。一名因此被束缚的生物可以用其动作进行一次力量（运动）检定对抗该法术的豁免DC。检定成功则成功摆脱缠绕在其身上的藤蔓并不再被其束缚。</t>
  </si>
  <si>
    <t>Entangle</t>
  </si>
  <si>
    <t>脚底抹油</t>
  </si>
  <si>
    <t>你执行疾走动作，且直到法术结束为止，你均能使用附赠动作执行疾走 动作。</t>
  </si>
  <si>
    <t>Expeditious Retreat</t>
  </si>
  <si>
    <t>妖火</t>
  </si>
  <si>
    <t>施法距离内一处20尺立方区域内每个物件的轮廓都将被蓝色、绿色、或紫色的光芒所勾勒（颜色由你指定）。区域内的生物则必须进行一次敏捷豁免，豁免失败时也会被彩色光芒勾勒出轮廓。受术物件和生物在法术持续时间内发出10尺半径的微光光照 。
受术生物或物件无法受益于隐形状态，且任何能看见他们的攻击者对其发动的攻击检定具有优势。</t>
  </si>
  <si>
    <t>Faerie Fire</t>
  </si>
  <si>
    <t>虚假生命</t>
  </si>
  <si>
    <t>一滴酒精</t>
  </si>
  <si>
    <t>你获得2d4+4点临时生命值。
升环施法：使用的法术位每比一环高一环，其给予的临时生命值就增加5。</t>
  </si>
  <si>
    <t>False Life</t>
  </si>
  <si>
    <t>羽落术</t>
  </si>
  <si>
    <t>反应，你或距你60尺内的可见生物坠落时可用</t>
  </si>
  <si>
    <t>一小根羽毛或一块羽绒</t>
  </si>
  <si>
    <t>指定施法距离内至多五个正坠落的生物。受术生物的坠落速度在法术持续时间内降低至每回合60尺。如果该生物在法术终止前落地，则其不会受到任何坠落伤害，且着地后法术对该生物的效应随即终止。</t>
  </si>
  <si>
    <t>Feather Fall</t>
  </si>
  <si>
    <t>寻获魔宠</t>
  </si>
  <si>
    <t>1小时或仪式</t>
  </si>
  <si>
    <t>价值10+GP的焚香，作为法术耗材</t>
  </si>
  <si>
    <r>
      <rPr>
        <sz val="11"/>
        <color theme="1"/>
        <rFont val="仿宋"/>
        <family val="3"/>
        <charset val="134"/>
      </rPr>
      <t>你获得一只为你服务的魔宠，魔宠精魄可以采用下述你选择的动物形态之一：蝙蝠Bat、猫Cat、青蛙Frog、鹰Hawk、蜥蜴Lizard、章鱼Octopus、猫头鹰Owl、老鼠Rat、渡鸦Raven、蜘蛛Spider、鼬Weasel，你也可以选择其他挑战等级为0的野兽作为魔宠的形态。魔宠出现在施法距离内一处未被占据的空间，虽然有着所选的生物属性数据，但其生物类型为天族、妖精、邪魔之一（由你选择）而非野兽 。你的魔宠可脱离你独立行动，不过它会一直遵循你的命令行事。
　　</t>
    </r>
    <r>
      <rPr>
        <sz val="11"/>
        <color theme="1"/>
        <rFont val="Arial"/>
        <family val="2"/>
      </rPr>
      <t>•</t>
    </r>
    <r>
      <rPr>
        <sz val="11"/>
        <color theme="1"/>
        <rFont val="仿宋"/>
        <family val="3"/>
        <charset val="134"/>
      </rPr>
      <t xml:space="preserve"> 心灵连接Telepathic Connection。你的魔宠距你100尺内期间，你可以与其进行心灵交流。此外，你还可以用一个附赠动作 将自己的视觉和听觉切换到魔宠的感官，并一持续至你下一回合开始。在此期间，你同时享有该魔宠自身的特殊感官。
最后，当你施展施法距离为触碰的法术时，你的魔宠可以帮你传递这道触碰法术。此时你的魔宠必须距你100尺内，且在你施展这道法术时你的魔宠需要执行一个反应 才能将其传递。
　　</t>
    </r>
    <r>
      <rPr>
        <sz val="11"/>
        <color theme="1"/>
        <rFont val="Arial"/>
        <family val="2"/>
      </rPr>
      <t>•</t>
    </r>
    <r>
      <rPr>
        <sz val="11"/>
        <color theme="1"/>
        <rFont val="仿宋"/>
        <family val="3"/>
        <charset val="134"/>
      </rPr>
      <t xml:space="preserve"> 战斗Combat。魔宠是你和你盟友的盟友。战斗时，它为自己骰先攻 ，并在自己回合里行动。魔宠无法攻击，但是它能如常执行其他动作。
　　</t>
    </r>
    <r>
      <rPr>
        <sz val="11"/>
        <color theme="1"/>
        <rFont val="Arial"/>
        <family val="2"/>
      </rPr>
      <t>•</t>
    </r>
    <r>
      <rPr>
        <sz val="11"/>
        <color theme="1"/>
        <rFont val="仿宋"/>
        <family val="3"/>
        <charset val="134"/>
      </rPr>
      <t xml:space="preserve"> 魔宠的消失Disappearance of the Familiar。当魔宠生命值降至0点时，它会消失。它会在你再次施展此法术后重新出现。你可以用一个魔法动作，暂时解散你的魔宠，将其送入一个口袋位面。你也可以选择永久解散它。暂时解散时，你可以用一个魔法 动作使其重新出现于距你30尺内任意未占空间中。当魔宠生命值归0或消失进入了口袋位面时，它都会将自己穿着或携带的任何物品留在自己曾占据的空间中。
　　</t>
    </r>
    <r>
      <rPr>
        <sz val="11"/>
        <color theme="1"/>
        <rFont val="Arial"/>
        <family val="2"/>
      </rPr>
      <t>•</t>
    </r>
    <r>
      <rPr>
        <sz val="11"/>
        <color theme="1"/>
        <rFont val="仿宋"/>
        <family val="3"/>
        <charset val="134"/>
      </rPr>
      <t xml:space="preserve"> 独一无二One Familiar Only。 你在同一时间不能拥有多于一只魔宠。如果你在已拥有一只魔宠期间施展此法术，作为替代，你会使其采用一个新的符合条件的形态。</t>
    </r>
  </si>
  <si>
    <t>Find Familiar</t>
  </si>
  <si>
    <t>云雾术</t>
  </si>
  <si>
    <t>专注，至多1小时</t>
  </si>
  <si>
    <t>你以施法距离内一点为中心创造一片半径20尺的球状浓雾。球状区域被重度遮蔽。浓雾持续至法术持续时间结束，被强风（比如造风术Gust of Wind 创造的风）吹散时法术也将提前结束。
升环施法： 使用的法术位每比一环高一环，浓雾的半径就增加20尺。</t>
  </si>
  <si>
    <t>Fog Cloud</t>
  </si>
  <si>
    <t>神莓术</t>
  </si>
  <si>
    <t>一根槲寄生</t>
  </si>
  <si>
    <t>10颗浆果出现在你手里。果子在法术持续时间内充满魔法。一名生物可以用一个附赠动作 吃下一颗浆果。吃掉一颗浆果可以恢复1点生命值，且一枚浆果就可以满足该生物一整天的营养需求。
法术结束时还没有被吃掉的浆果会消失。</t>
  </si>
  <si>
    <t>Goodberry</t>
  </si>
  <si>
    <t>油腻术</t>
  </si>
  <si>
    <t>一块猪皮或黄油</t>
  </si>
  <si>
    <t>你在施法距离内指定一点，光滑的不可燃油脂以该点为中心覆盖一处10尺的方状区域。在法术持续时间内。该区域变为困难地形 。
油脂出现时，站在其范围内的每个生物必须成功通过一次敏捷豁免，否则陷入倒地状态。进入该区域或在区域内结束其回合的生物也必须进行该敏捷豁免，豁免失败则陷入倒地。</t>
  </si>
  <si>
    <t>Grease</t>
  </si>
  <si>
    <t>光导箭</t>
  </si>
  <si>
    <t>你向施法距离内的一名生物掷出一道光箭。对目标进行一次远程法术攻击。命中时，目标受4d6点光耀伤害。在你下个回合结束前，对目标发动的下一次攻击检定具有优势。
升环施法：使用的法术位每比一环高一环，此法术的伤害就增加1d6点。</t>
  </si>
  <si>
    <t>Guiding Bolt</t>
  </si>
  <si>
    <t>荆棘之雨</t>
  </si>
  <si>
    <t>当你攻击命中生物时，法术会从你的远程武器或弹药中创造出棘刺，并形成一片棘刺之雨。目标和在目标周围5尺内每个生物必须进行一次敏捷豁免检定，豁免失败者将受到 1d10 点穿刺伤害，豁免成功则受到一半伤害。
升环施法：使用的法术位每比一环高一环，此法术的伤害就增加 1d10。</t>
  </si>
  <si>
    <t>Hail of Thorns</t>
  </si>
  <si>
    <t>治愈真言</t>
  </si>
  <si>
    <t>你指定施法距离内一个你能看见的生物并恢复其生命值，恢复量等于2d4+你的施法属性调整值。
升环施法： 使用的法术位每比一环高一环，此法术的治疗量就增加2d4点。</t>
  </si>
  <si>
    <t>Healing Word</t>
  </si>
  <si>
    <t>炼狱叱喝</t>
  </si>
  <si>
    <t>反应，当你受到来自60尺内你可见生物的伤害时执行。</t>
  </si>
  <si>
    <t>伤害你的生物立刻被绿色的烈焰席卷。该生物必须进行一次敏捷豁免，豁免失败则受到2d10点火焰伤害，豁免成功则受到一半伤害。
升环施法： 使用的法术位每比一环高一环，此法术的伤害就增加1d10点。</t>
  </si>
  <si>
    <t>Hellish Rebuke</t>
  </si>
  <si>
    <t>英雄气概</t>
  </si>
  <si>
    <t>你触碰一个自愿生物使其充满勇气。该生物直至法术终止前免疫恐慌状态，且它将在其每回合开始时获得等同于你施法属性调整值的临时生命值。
升环施法：使用的法术位每比一环高一环，你就可以额外指定一个生物作为目标。</t>
  </si>
  <si>
    <t>Heroism</t>
  </si>
  <si>
    <t>脆弱诅咒</t>
  </si>
  <si>
    <t>一只风干的蝾螈眼</t>
  </si>
  <si>
    <t>你对施法距离内一个你能看见的一个生物施加诅咒。直到法术终止前，你对命中该目标的任意攻击都将额外造成1d6点暗蚀伤害。此外，你在施展该法术时选择一项属性，使该目标进行所选属性的属性检定时具有劣势 。
如果目标在法术终止前 HP 降至 0，则你可以在法术终止前后续的某一回合中使用一个附赠动作 诅咒另一个生物。
升环施法： 使用二环法术位施展该法术时，其专注可以维持至多4小时。使用三环或四环法术位施展该法术时，其专注可以维持至多8小时。使用环阶5+的法术位施展该法术时，其专注可以维持至多 24 小时。</t>
  </si>
  <si>
    <t>Hex</t>
  </si>
  <si>
    <t>猎人印记</t>
  </si>
  <si>
    <t>你指定施法距离内一个你能看见的生物并以魔法标记其作为你的猎物。直至法术终止前，你每次以任何攻击命中该目标时都会额外造成1d6点力场伤害，且每当你为寻找目标生物而进行感知（察觉或生存）检定时都具有优势 。
如果在法术结束前目标 HP 降至 0，则你可以用附赠动作 将标记转移至施法距离内的另一个可见生物。
升环施法：使用三环或四环法术位施展该法术时，其专注可以维持至多8小时。使用环阶5+的法术位施展该法术时，其专注可以维持至多 24 小时。</t>
  </si>
  <si>
    <t>Hunter's Mark</t>
  </si>
  <si>
    <t>冰刃</t>
  </si>
  <si>
    <t>一滴水或一块冰</t>
  </si>
  <si>
    <t>你制造出一块冰晶裂片，并将它射向施法距离内的一个生物。你对目标进行一次远程法术攻击。若击中，目标受到 1d10 点穿刺伤害。无论击中与否，裂片都会在那之后立刻爆裂。攻击目标和其5尺范围内的每名生物都必须通过一次敏捷豁免检定，否则将受到 2d6 点寒冷伤害。
升环施法： 你使用的法术位每比一环高一环，寒冷伤害就增加1d6。</t>
  </si>
  <si>
    <t>Ice Knife</t>
  </si>
  <si>
    <t>鉴定术</t>
  </si>
  <si>
    <t>1分钟或仪式</t>
  </si>
  <si>
    <t>一颗价值100GP+的珍珠</t>
  </si>
  <si>
    <t>你指定一个物件，并在施法过程中一直与其保持接触。如果该物件是魔法物品或其他附有魔力的物件，则你将知晓其属性和使用方式，以及了解是否需要与之同调。若它是充能物品则你将得知它现存的可用次数。你还可以发现是否有法术正影响该物件，以及可能存在的法术效应具体来自哪项法术。如果目标由法术所创，则你将知晓具体来自哪项法术。
如果你施法过程中一直接触的是一生物，则你将知晓其是否受法术影响，及产生影响的法术效应具体来自哪些法术。</t>
  </si>
  <si>
    <t>Identify</t>
  </si>
  <si>
    <t>迷幻手稿</t>
  </si>
  <si>
    <t>价值10+GP的墨水，作为法术耗材</t>
  </si>
  <si>
    <t>10日</t>
  </si>
  <si>
    <t>你在羊皮纸，纸张或是其他适合书写的材质上书写文字并对其施加一个强力的幻象。其效应将持续至法术终止。
文件对于你和你施法时所指定的生物而言是一份普通的文件，文件内容即是以你的笔迹传达你写下手稿时想要传达的一切意义。而对于所有其他阅读者而言，该文件看起来就像由难懂的未知文字或魔法文字所书写。此外，你还可以使该文件呈现出完全不同的信息，使其看起来是用另一种笔迹或者语言所书写，不过你必须懂得该语言。
如果法术被解除，则幻象和原始手稿一同消失不见。
拥有真实视觉的生物可以读出其内被隐藏的信息。</t>
  </si>
  <si>
    <t>Illusory Script</t>
  </si>
  <si>
    <t>致伤术</t>
  </si>
  <si>
    <t>你迫使触碰的一名生物进行体质豁免检定，豁免失败将受到 2d10 的暗蚀伤害，豁免成功则受到半数伤害。
升环施法：你使用的法术位每比一环高一环，暗蚀伤害就增加1d10。</t>
  </si>
  <si>
    <t>Inflict Wounds</t>
  </si>
  <si>
    <t>跳跃术</t>
  </si>
  <si>
    <t>一只蚱蜢的后腿</t>
  </si>
  <si>
    <t>你触碰一个自愿生物。在法术结束前，每该生物他的回合内一次，其可以消耗10尺移动力来跳跃至多30尺距离。
升环施法：使用的法术位每比一环高一环，你就可以额外指定一个生物作为目标。</t>
  </si>
  <si>
    <t>Jump</t>
  </si>
  <si>
    <t>大步奔行</t>
  </si>
  <si>
    <t>一撮泥土</t>
  </si>
  <si>
    <t>你触碰一个生物，该目标的速度增加10尺，直至法术结束。
升环施法：使用的法术位每比一环高一环，你就可以额外指定一个目标。</t>
  </si>
  <si>
    <t>Longstrider</t>
  </si>
  <si>
    <t>一块鞣制过的皮革</t>
  </si>
  <si>
    <t>你触碰一个未着装护甲的自愿生物。直至法术终止前，目标的基础AC变为 13+它的敏捷调整值。当目标穿上护甲时，此法术将提前终止。</t>
  </si>
  <si>
    <t>Mage Armor</t>
  </si>
  <si>
    <t>魔法飞弹</t>
  </si>
  <si>
    <t>你创造三枚由魔法力场形成的闪光飞镖，并让每发飞镖袭向施法距离内你能看见的指定生物。每发飞镖对目标造成1d4+1点力场伤害。所有飞镖将同时袭向目标，而你还可以指定它们击中同一个目标或是分别击中几个目标。
升环施法： 使用的法术位每比一环高一环，该法术就会多制造出一支飞镖。</t>
  </si>
  <si>
    <t>Magic Missile</t>
  </si>
  <si>
    <t>防护善恶</t>
  </si>
  <si>
    <t>一瓶25GP+的圣水，作为此法术的耗材</t>
  </si>
  <si>
    <t>法术结束前，你使触及的一名自愿生物获得针对下述生物类型的防护：异怪、天族、元素、妖精、邪魔、亡灵。
此防护提供下述几种增益。上述生物类型的生物对目标的攻击检定具有劣势。目标不能被其附身，也不会因其陷入魅惑或恐慌状态。如果目标已经被具有上述生物类型的生物附身，或其魅惑或恐慌状态影响，目标后续进行的相关效应的豁免检定也将具有优势。</t>
  </si>
  <si>
    <t>Protection from Evil and Good</t>
  </si>
  <si>
    <t>净化饮食</t>
  </si>
  <si>
    <t>以施法距离内一点为中心，你移除半径5尺球状 区域内非魔法食物与饮品中的毒素和腐败。</t>
  </si>
  <si>
    <t>Purify Food and Drink</t>
  </si>
  <si>
    <t>致病射线</t>
  </si>
  <si>
    <t>你朝施法距离内一名生物射出一道绿色射线。对目标进行一次远程法术攻击。若命中，则目标受到2d8点毒素伤害且陷入中毒状态，持续至你的下一回合结束。
升环施法： 使用的法术位每比一环高一环，此法术的伤害就增加1d8点。</t>
  </si>
  <si>
    <t>Ray of Sickness</t>
  </si>
  <si>
    <t>庇护术</t>
  </si>
  <si>
    <t>一块镜子碎片</t>
  </si>
  <si>
    <t>你为施法距离内的一名生物施加守护。在法术终止前，当任何生物将受守护的生物定为其攻击检定或伤害性法术的目标时，该生物都必须成功通过一次感知豁免，否则该生物必须改为选定另外一个生物作为新的目标，或者失去本次的攻击/法术。不过此法术无法令受术者免受区域效应的影响。
若受保护生物发动一次攻击，施展一道法术，或是造成任何伤害，则该法术随之终止。</t>
  </si>
  <si>
    <t>Sanctuary</t>
  </si>
  <si>
    <t>炽焰斩</t>
  </si>
  <si>
    <t>被该次攻击检定命中的目标会在此次攻击中额外受到1d6火焰伤害。直至法术终止前，目标会在其每个回合开始时受到1d6点火焰伤害，并进行一次体质豁免。豁免失败则法术继续生效，成功则法术终止。
升环施法：使用的法术位每比一环高一环，此法术造成的所有伤害都会增加1d6点。</t>
  </si>
  <si>
    <t>Searing Smite</t>
  </si>
  <si>
    <t>护盾术</t>
  </si>
  <si>
    <t>反应，当你被攻击命中或被作为魔法飞弹Magic Missile 法术的目标时执行</t>
  </si>
  <si>
    <t>一道看不见的力场制护盾浮现在你身旁，保护着你。在你的下一回合开始前，你的 AC 具有+5 加值（在触发该法术的攻击之前生效），并且不会受到魔法飞弹Magic Missle 的伤害。</t>
  </si>
  <si>
    <t>Shield</t>
  </si>
  <si>
    <t>虔诚护盾</t>
  </si>
  <si>
    <t>一张祷文卷轴</t>
  </si>
  <si>
    <t>一片闪着微光的能量场围绕着施法距离内你指定的一个生物，使目标在法术持续时间内AC获得+2 加值。</t>
  </si>
  <si>
    <t>Shield of Faith</t>
  </si>
  <si>
    <t>无声幻影</t>
  </si>
  <si>
    <t>少量羊毛</t>
  </si>
  <si>
    <t>你创造一个影像，其形象来自一个大小不超过边长 15 尺立方体的物件，生物或其他的可视现象。影像出现在施法距离内的一处位置并在法术持续时间内持续存在。该影像是纯粹的视觉影像；它不会被听觉，嗅觉或其他感官感受到。
你可以使用魔法动作将影像移动到施法距离内的另一个位置。影像改变位置时，你可以改变影像的外观使其移动得更自然。例如，如果你创造了一个生物的影像并移动它，则你可以改变影像，使它看起来就像是在走路。
由于影像无法被碰到，任何与该影像进行的物理互动都会暴露其幻象的本质。一个生物使用研究动作调查影像时，它可以进行一次对抗法术豁免 DC 的智力（调查）检定。辨出幻象的生物可以看破该影像，在该生物看来会透过影像看到其背后的事物。</t>
  </si>
  <si>
    <t>Silent Image</t>
  </si>
  <si>
    <t>睡眠术</t>
  </si>
  <si>
    <t>一把细沙或玫瑰花瓣</t>
  </si>
  <si>
    <t>以施法距离内一点为源点，5尺半径球状区域内每个你选择的生物都必须成功通过一次感知豁免否则直到其下个回合结束陷入失能状态。在其下个回合结束时，它必须重复此豁免。如果目标第二次豁免失败，目标在持续时间内陷入昏迷状态。如果目标受到伤害，或其5尺内有人用一个动作将它摇醒，目标身上的法术结束。
不需要睡眠的生物（例如精灵）或免疫力竭状态的生物自动成功通过对抗此法术的豁免。</t>
  </si>
  <si>
    <t>Sleep</t>
  </si>
  <si>
    <t>动物交谈</t>
  </si>
  <si>
    <t>你在法术持续时间内获得理解野兽生物并用语言与其沟通的能力，并且你可以对它们使用交涉动作时任何技能选项都可以适用。
大多数野兽在谈及和生存与伙伴无关的话题时能说的很少，但至少，一只野兽能够给你提供周遭的地点和怪物的情报，包括任何它们近一日内察觉到过的东西。</t>
  </si>
  <si>
    <t>Speak with Animals</t>
  </si>
  <si>
    <t>塔莎狂笑术</t>
  </si>
  <si>
    <t>一块甜馅饼和一根羽毛</t>
  </si>
  <si>
    <t>施法距离内你可见的一名生物进行一次感知豁免。豁免失败，目标在持续时间内陷入失能和倒地状态。在此期间，目标会不受控制地狂笑（只要它能够发笑），且无法结束自身的倒地状态。
目标在其每回合结束或受到伤害时，可以再进行一次感知豁免。如果豁免是因受到伤害所致，则该次豁免具有优势。豁免成功时，法术终止。
升环施法：使用的法术位每比一环高一环，就可以额外指定一个目标。</t>
  </si>
  <si>
    <t>Tasha's Hideous Laughter</t>
  </si>
  <si>
    <t>谭森浮碟术</t>
  </si>
  <si>
    <t>一滴汞</t>
  </si>
  <si>
    <t>指定施法距离内一处你可见的未占空间，并在该处创造一个圆盘状的碟型水平力场。浮碟直径3尺，厚1寸，悬浮在离地3尺的空中。其可以在法术持续时间内持续存在，并至多可负载500磅重量。如果放在浮碟上的物件重量超过500磅，则该法术终止，浮碟上的所有东西也将掉落至地上。
浮碟距你20尺内时静止不动。只要你与其距离超过20尺，浮碟就会跟随你移动，并保持在距你20尺范围内。浮碟可以自由跨越崎岖地形、上下阶梯、斜坡面、诸如此类的地面，但它不能越过高差超过10尺的地面。例如，浮碟不能越过一个10尺深的坑；如果将浮碟创造在这个坑的坑底，则它将无法离开这个坑。
如果你距浮碟超过100尺（通常是因为它受障碍所阻无法跟上你），则法术终止。</t>
  </si>
  <si>
    <t>Tenser's Floating Disk</t>
  </si>
  <si>
    <t>雷鸣斩</t>
  </si>
  <si>
    <t>你的打击发出距你300尺内都能听见的雷鸣。被该次攻击检定命中的目标会在此次攻击中额外受到2d6点雷鸣伤害，如果目标是一名生物，则它必须成功于一次力量豁免，否则其被向着远离你的方向推离10尺并陷入倒地状态。
升环施法：使用的法术位每比一环高一环，伤害就提高1d6。</t>
  </si>
  <si>
    <t>Thunderous Smite</t>
  </si>
  <si>
    <t>雷鸣波</t>
  </si>
  <si>
    <t>你施放出一道雷鸣能量。在以你为源点15尺立方区域内的每名生物必须进行一次体质豁免。豁免失败者将受到2d8点雷鸣伤害，并被向远离你的方向推离10尺。豁免成功则只受一半伤害。
此外，所有完全位于该区域内且未被固定住的物件都将被推离10尺。该法术还会发出距你300尺内都能听见的雷霆巨响。
升环施法：使用的法术位每比一环高一环，伤害就提高1d8。</t>
  </si>
  <si>
    <t>Thunderwave</t>
  </si>
  <si>
    <t>隐形仆役</t>
  </si>
  <si>
    <t>一些线和木头</t>
  </si>
  <si>
    <t>该法术创造出一个隐形、无心智、无定形的中型 力场。你可以在法术终止前命令它进行简单的工作。该仆役被创造出来后出现在施法距离内一处未占空间的地面上。其AC为10，具有1点生HP，力量为2，且不能攻击。若仆从的生命值降至 0，则法术终止。
在每个自己回合内以一个附赠动作 ，你可以精神性的对仆役下达一道命令，使其移动至多15尺并与一个物件进行互动。仆役可以做人类能做到的简单工作，例如拿取东西、打扫卫生、修补东西、叠衣服、点火、上菜、倒饮料等。一旦你下达了命令，仆役就会尽全力去进行任务直至完成任务，并在此后等待你的下一个命令。
如果你命令仆役做一件需要它离开你身边60尺的工作，则法术终止。</t>
  </si>
  <si>
    <t>Unseen Servant</t>
  </si>
  <si>
    <t>巫术箭</t>
  </si>
  <si>
    <t>一根被闪电击中的树枝</t>
  </si>
  <si>
    <t>一支缠绕着碎裂魔力的蓝色能量长矛射向施法距离内的一个生物，并在你与目标之间生成一道持久的闪电弧。对目标进行一次远程法术攻击。若命中，则目标受到2d12点闪电伤害。
无论首次攻击是否命中，在你接下来的每个回合中，你都可以用附赠动作直接对目标造成1d12点闪电伤害。
此外，如果目标与你之间的距离超出了法术的施法距离，或者目标相对你而言处于全身掩护状态，法术将提前终止。
升环施法：使用的法术位每比一环高一环，此法术的初始伤害就提高1d12。</t>
  </si>
  <si>
    <t>Witch Bolt</t>
  </si>
  <si>
    <t>激愤斩</t>
  </si>
  <si>
    <t>被该次攻击检定命中的目标会在此次攻击中额外受到1d6点暗蚀伤害，并且目标必须通过一次感知豁免检定，否则直到法术结束为止陷入恐慌状态。在自己的每回合结束时，被恐慌的目标可以重复此豁免，成功则结束该法术对自身的影响。
升环施法：使用的法术位每比一环高一环，伤害就提高1d6。</t>
  </si>
  <si>
    <t>Wrathful Smite</t>
  </si>
  <si>
    <t>援助术</t>
  </si>
  <si>
    <t>一小片白布</t>
  </si>
  <si>
    <t>8 小时</t>
  </si>
  <si>
    <t>选择法术距离内至多三个生物。每个目标的生命值上限和当前生命值 在法术持续时间内提高5点。
升环施法：使用的法术位每比二环高一环，每个目标的生命值就额外提高 5 点。</t>
  </si>
  <si>
    <t>Aid</t>
  </si>
  <si>
    <t>变身术</t>
  </si>
  <si>
    <r>
      <rPr>
        <sz val="11"/>
        <color theme="1"/>
        <rFont val="仿宋"/>
        <family val="3"/>
        <charset val="134"/>
      </rPr>
      <t>你变换了自身形态。施法时，从以下选项中选择其一生效，其效应维持至其持续时间结束。在持续时间内，你还能够以一个魔法动作将效应切换为另一个不同的选项。
　　</t>
    </r>
    <r>
      <rPr>
        <sz val="11"/>
        <color theme="1"/>
        <rFont val="Arial"/>
        <family val="2"/>
      </rPr>
      <t>•</t>
    </r>
    <r>
      <rPr>
        <sz val="11"/>
        <color theme="1"/>
        <rFont val="仿宋"/>
        <family val="3"/>
        <charset val="134"/>
      </rPr>
      <t xml:space="preserve"> 水生适应Aquatic Adaptation。 你长出鳃和蹼。你可以在水下呼吸，并且获得等同于步行速度的游泳速度。
　　</t>
    </r>
    <r>
      <rPr>
        <sz val="11"/>
        <color theme="1"/>
        <rFont val="Arial"/>
        <family val="2"/>
      </rPr>
      <t>•</t>
    </r>
    <r>
      <rPr>
        <sz val="11"/>
        <color theme="1"/>
        <rFont val="仿宋"/>
        <family val="3"/>
        <charset val="134"/>
      </rPr>
      <t xml:space="preserve"> 改变外貌Change Appearance。你改变了自己的外貌。你可以自行设定自己的外观：包括身高、体重、面部细节、声线、头发长短、肤色以及（可能具有的）独特外貌特征。你可以让自己的外观形似其他种族的一员而你的任何数据都不会变化。你无法变为一个体型不同的生物，并且你的基础身体轮廓不会变化。例如，如果你两足行动，就不能变为四足生物。你可以在持续时间内以一个魔法动作改变这些外貌细节。
　　</t>
    </r>
    <r>
      <rPr>
        <sz val="11"/>
        <color theme="1"/>
        <rFont val="Arial"/>
        <family val="2"/>
      </rPr>
      <t>•</t>
    </r>
    <r>
      <rPr>
        <sz val="11"/>
        <color theme="1"/>
        <rFont val="仿宋"/>
        <family val="3"/>
        <charset val="134"/>
      </rPr>
      <t xml:space="preserve"> 天生武器Natural Weapons。 你长出爪子（挥砍）、獠牙（穿刺）、犄角（穿刺）或蹄（钝击）。当你使用徒手打击以这些新长的器官造成伤害时，它会造成1d6对应类型伤害，而非你通常的徒手打击伤害，并且你使用你的施法关键属性调整值而非力量调整值来作为攻击和伤害的调整值。</t>
    </r>
  </si>
  <si>
    <t>Alter Self</t>
  </si>
  <si>
    <t>动物信使</t>
  </si>
  <si>
    <t>指定一只在施法距离内你能看见的微型野兽。该生物必须成功通过一次魅力豁免，否则它会为你传递一则消息（如果该生物的挑战等级不是0，则豁免自动成功）。你选择一个你曾造访过的地点，然后描述收信人的基本信息，如“一个穿着城镇守卫制服的男人或女人”或“一个戴着尖顶帽子的红发矮人”。你还需要说出一段不超过二十五个单次的信息。目标野兽 将会在法术持续时间内前往你选定的地点。会飞的信使24小时内可移动50里，不会飞的信使只能移动25里。
野兽抵达目的地后，会模仿你的声音把信息传递给你描述的人。信使只会把信息传递给符合你描述的人。如果法术持续时间内信使未能抵达目的地则信息将遗失，而曾作为信使的野兽将自行寻路返回你施法的地点。
升环施法： 使用的法术位每比2环高一环，此法术持续时间就增加48小时。</t>
  </si>
  <si>
    <t>Animal Messenger</t>
  </si>
  <si>
    <t>秘法锁</t>
  </si>
  <si>
    <t>价值25GP+的金粉，作为法术耗材</t>
  </si>
  <si>
    <t>直到被解除</t>
  </si>
  <si>
    <t>你触碰一个关着的门、窗、容器或出入口，并使目标在法术持续时间内被魔法上锁。秘法锁无法被任何非魔法方式解锁。在你施展法术时你可以选择允许一些其他生物，你和受你允许的生物能够无视秘法锁打开/关闭该物件。你还可以设置一条密语，在该物件5尺内念出密语时，秘法锁将被解锁（持续1分钟）。</t>
  </si>
  <si>
    <t>Arcane Lock</t>
  </si>
  <si>
    <t>复苏秘法</t>
  </si>
  <si>
    <t>你利用自己的生命力来治愈自身。投一枚或两枚你还未消耗的生命骰，然后回复等于结果加你的施法属性调整值的总和的生命值。随后，这些生命骰会被法术消耗。
升环施法：使用的法术位每比二环高一环，你就能多投掷一枚未使用的生命骰。</t>
  </si>
  <si>
    <t>Arcane Vigor</t>
  </si>
  <si>
    <t>卜筮术</t>
  </si>
  <si>
    <t>绘有标记的短棒、骨头、卡片、或类似的预言道具，价值25+GP</t>
  </si>
  <si>
    <t>你从异界存在处获得对某道有关你在接下来的30分钟内所计划执行的一系列行动之结果的预示。DM从下列预示中选取一个：
预兆 预示着… 
吉 好的结果。 
凶 坏的结果。 
吉凶并存 结果既有好的方面，也有坏的方面。 
无 结果并无明显的好坏分别。 
该法术将不会对任何环境因素进行解释，比如可能会对结果产生改变的一些其他法术。若你在两次长休之间使用两次或更多次的卜筮术，则法术在第一次施展之后会每次累积25%概率会不给出任何结果。</t>
  </si>
  <si>
    <t>Augury</t>
  </si>
  <si>
    <t>树肤术</t>
  </si>
  <si>
    <t>一把树皮</t>
  </si>
  <si>
    <t>你触碰一个自愿生物。直到法术终止前，目标的皮肤呈现出树皮样的外貌，并且若目标AC低于17，则其AC变为17。</t>
  </si>
  <si>
    <t>Barkskin</t>
  </si>
  <si>
    <t>野兽感官</t>
  </si>
  <si>
    <t>你触碰一只自愿的野兽。在持续期间内，你可以借助该野兽的感官来感知周围事物，如同它们的感官是你的感官一般。以通过该野兽感官感知事物时，你同样会受益于它拥有的那些特殊感官。</t>
  </si>
  <si>
    <t>Beast Sense</t>
  </si>
  <si>
    <t>目盲术/耳聋术</t>
  </si>
  <si>
    <t>处于你施法范围内的一个你可见的生物必须进行一次体质豁免，豁免失败者在法术持续期间陷入目盲或耳聋状态（由你选择）。目标可以在其每个回合结束时重复此豁免，直至豁免成功时结束自己身上的效应。
升环施法：使用的法术位每比二环高一环，你就能多指定一个生物作为法术目标。</t>
  </si>
  <si>
    <t>Blindness/Deafness</t>
  </si>
  <si>
    <t>朦胧术</t>
  </si>
  <si>
    <t>你的身体变得模糊不定，难以捉摸。在法术持续时间内，所有生物对你发动的攻击检定具有劣势。不过若攻击者能通过盲视或真实视觉观测你，则其免疫于此法术的效应。</t>
  </si>
  <si>
    <t>Blur</t>
  </si>
  <si>
    <t>安定心神</t>
  </si>
  <si>
    <t>你指定施法距离内一点，以该点为源点半径20尺球状区域内的每个类人生物必须成功通过一次魅力豁免，否则将受下列效应之一影响（由你分别为每名生物选择生效的效应）。
直到法术结束，该生物免疫魅惑和恐慌状态。如果该生物已经陷入魅惑或恐慌状态，则这些状态在持续时间内被压制。
该生物对你选择的之前敌对的生物态度变为冷漠。该冷漠态度持续到目标受到伤害或者看到自己的盟友受到伤害。当法术结束时，该生物恢复到原本的态度。</t>
  </si>
  <si>
    <t>Calm Emotions</t>
  </si>
  <si>
    <t>匕首之云</t>
  </si>
  <si>
    <t>一小片玻璃</t>
  </si>
  <si>
    <t>你指定施法距离内一点，在以该点为中心的5尺立方区域内咒唤出旋转的匕首。区域内的每名生物受到4d4点挥砍伤害。每当立方区域移动到一名生物区域内时、一名生物进入立方区域或是在该区域结束其回合时，该生物同样会受到此伤害。一名生物一回合中只会受到一次该伤害。
升环施法： 使用的法术位每比二环高一环，此法术的伤害就增加2d4。</t>
  </si>
  <si>
    <t>Cloud of Daggers</t>
  </si>
  <si>
    <t>不灭明焰</t>
  </si>
  <si>
    <t>价值50+GP的红宝石尘，作为法术耗材</t>
  </si>
  <si>
    <t>直至被解除</t>
  </si>
  <si>
    <t>你所触碰的物件上冒出火焰。这一效应发出半径20尺的明亮光照和额外20尺的微光光照。法术效应看上去与一般火焰无异，不过其并不会发热，也不需要燃料。你可以掩盖或隐藏火焰，但无法将其闷熄或扑灭。</t>
  </si>
  <si>
    <t>Continual Flame</t>
  </si>
  <si>
    <t>警戒箭阵</t>
  </si>
  <si>
    <t>一根装饰性穗带</t>
  </si>
  <si>
    <t>你触碰至多四根非魔法箭矢或弩矢，将其插在位于你所处空间的地面上。直到法术结束为止，这些弹药不能被物理方法拔起，且当除你之外的生物第一次进入距弹药30尺内空间或在距弹药30尺内空间结束回合时，一枚弹药便会飞起攻击此生物。那名生物必须成功于一次敏捷豁免，否则受到2d4点穿刺伤害。那枚弹药随之被摧毁。当所有弹药都没有插在地面上时，法术终止。
施展该法术时，你可以指定任意名你选择的生物，法术效应将无视他们。
升环施法：使用的法术位每比二环高一环，可被影响的弹药数量就增加两枚。</t>
  </si>
  <si>
    <t>Cordon of Arrows</t>
  </si>
  <si>
    <t>疯狂冠冕</t>
  </si>
  <si>
    <t>一名施法距离内你可见的生物必须成功于一次感知豁免，否则于法术持续时间内陷入魅惑状态。非类人生物自动成功于此豁免。
一顶虚体王冠出现在被魅惑目标的头顶，且目标每回合必须在移动之前使用其动作对除自身以外你精神性选择的目标发动一次近战攻击。若你并未选择任何生物，或目标触及内没有生物，则目标可在其回合正常行动。目标在其每回合结束时都可以重新豁免，豁免成功则结束其身上该法术的效应。
在施法后，你在每个自己回合里必须用一个魔法动作维持对目标的控制，否则法术将终止。</t>
  </si>
  <si>
    <t>Crown of Madness</t>
  </si>
  <si>
    <t>黑暗术</t>
  </si>
  <si>
    <t>蝙蝠毛与一块煤</t>
  </si>
  <si>
    <t>你指定施法距离内一点，并在法术持续时间内使魔法性黑暗充斥以该点为中心半径15尺的球状区域。黑暗视觉也无法看穿这这种黑暗，非魔法的光照也无法将其照亮。
或者，你可以将此法术施展于一个未被着装或携带的物件上，使黑暗充斥以该物件为中心的15尺光环区域。将该物件用不透明的东西遮掩（比如用碗或头盔盖住）时，会将黑暗Darkness隔绝。
如果法术区域与任何二环或更低环阶法术创造的明亮光照或微光光照 区域重叠，则这些造光的法术将被解除。</t>
  </si>
  <si>
    <t>Darkness</t>
  </si>
  <si>
    <t>一根干胡萝卜</t>
  </si>
  <si>
    <t xml:space="preserve">你触碰一名自愿生物，该生物在法术持续时间内拥有150尺黑暗视觉。 </t>
  </si>
  <si>
    <t>Darkvision</t>
  </si>
  <si>
    <t>侦测思想</t>
  </si>
  <si>
    <t>1铜币</t>
  </si>
  <si>
    <r>
      <rPr>
        <sz val="11"/>
        <color theme="1"/>
        <rFont val="仿宋"/>
        <family val="3"/>
        <charset val="134"/>
      </rPr>
      <t>你激活下述效应之一。直到法术结束为止，你可以在你随后的回合用一个魔法动作以激活下述任意效应之一。
　　</t>
    </r>
    <r>
      <rPr>
        <sz val="11"/>
        <color theme="1"/>
        <rFont val="Arial"/>
        <family val="2"/>
      </rPr>
      <t>•</t>
    </r>
    <r>
      <rPr>
        <sz val="11"/>
        <color theme="1"/>
        <rFont val="仿宋"/>
        <family val="3"/>
        <charset val="134"/>
      </rPr>
      <t xml:space="preserve"> 感知思想Sense Thoughts。 你感知距你30尺内，知晓语言或能够心灵感应的思想的存在。你并不会阅读这些思想，但你知道这里存在一名有理智的生物。
此法术会被1尺厚的岩石、泥土或木头，1寸厚的金属，或薄薄一层铅阻隔。
　　</t>
    </r>
    <r>
      <rPr>
        <sz val="11"/>
        <color theme="1"/>
        <rFont val="Arial"/>
        <family val="2"/>
      </rPr>
      <t>•</t>
    </r>
    <r>
      <rPr>
        <sz val="11"/>
        <color theme="1"/>
        <rFont val="仿宋"/>
        <family val="3"/>
        <charset val="134"/>
      </rPr>
      <t xml:space="preserve"> 阅读思想Read Thoughts。选择一名距你30尺内的可见生物，或一名距你30尺内被感知思想 侦测到的生物。你了解到此时目标最关心的事情。如果目标不知晓任何语言也不会心灵感应，则你不能得到任何信息。
在你的下一回合，用一个魔法动作，你可以尝试深入目标的心灵。如果你选择这么做，目标进行一次感知豁免。豁免失败，则你了解到他的逻辑推理、情绪状态以及他头脑中的一些大事（比如忧虑、挚爱和仇恨的事物）。豁免成功，法术终止。无论哪种情况，目标都会知道你正在窥探其心灵，且直到你的注意力从它的心灵上移开为止，目标均可以在其回合内使用动作进行一次智力（奥秘）检定，对抗你的法术豁免DC，目标胜出对抗时，法术终止。</t>
    </r>
  </si>
  <si>
    <t>Detect Thoughts</t>
  </si>
  <si>
    <t>龙息术</t>
  </si>
  <si>
    <t>一根辣椒</t>
  </si>
  <si>
    <t>你触摸一名自愿生物，然后从强酸、寒冷、火焰、闪电或毒素中任选其一。在法术结束之前，目标可以用一个魔法动作呼出15尺锥形范围的吐息。区域内的所有生物进行一次敏捷豁免，豁免失败受到3d6点所选类型的伤害，豁免成功只受一半伤害。
升环施法：使用的法术位每比二环高一环，此法术的伤害就提高1d6。</t>
  </si>
  <si>
    <t>Dragon's Breath</t>
  </si>
  <si>
    <t>强化属性</t>
  </si>
  <si>
    <t>毛发或羽毛</t>
  </si>
  <si>
    <t>你触碰一名生物并在力量、敏捷、智力、感知、魅力中选择一项属性。法术持续时间内，目标在使用所选属性进行的属性检定具有优势。
升环施法：使用的法术位每比二环高一环，你就可以额外指定一个目标。你可以分别为每个目标选择一项属性。</t>
  </si>
  <si>
    <t>Enhance Ability</t>
  </si>
  <si>
    <t>变巨术/缩小术</t>
  </si>
  <si>
    <t>一撮铁粉</t>
  </si>
  <si>
    <r>
      <rPr>
        <sz val="11"/>
        <color theme="1"/>
        <rFont val="仿宋"/>
        <family val="3"/>
        <charset val="134"/>
      </rPr>
      <t>在法术持续时间内，法术使施法距离内一个你可见的生物或物件的大小发生改变（见下可选效应）。若你以物件为目标，则其不能被着装或携带。如果目标为非自愿生物，则其可以进行一次体质豁免。豁免成功则法术无效。
如果目标是生物，则其着装物和携带物的尺寸也随之变化。随后任何从该生物身上脱离的物品都会立即恢复为正常大小。投掷武器和弹药在命中目标或失手后会恢复为正常大小。
　　</t>
    </r>
    <r>
      <rPr>
        <sz val="11"/>
        <color theme="1"/>
        <rFont val="Arial"/>
        <family val="2"/>
      </rPr>
      <t>•</t>
    </r>
    <r>
      <rPr>
        <sz val="11"/>
        <color theme="1"/>
        <rFont val="仿宋"/>
        <family val="3"/>
        <charset val="134"/>
      </rPr>
      <t xml:space="preserve"> 变巨Enlarge。目标的体型增大一级（例如从中型变为大型）。目标在力量检定和力量豁免时具有优势。目标使用变巨的武器发动攻击或进行徒手打击 时，命中时将额外造成1d4点伤害。
　　</t>
    </r>
    <r>
      <rPr>
        <sz val="11"/>
        <color theme="1"/>
        <rFont val="Arial"/>
        <family val="2"/>
      </rPr>
      <t>•</t>
    </r>
    <r>
      <rPr>
        <sz val="11"/>
        <color theme="1"/>
        <rFont val="仿宋"/>
        <family val="3"/>
        <charset val="134"/>
      </rPr>
      <t xml:space="preserve"> 缩小Reduce。目标的体型缩小一级（例如从中型变为小型）。目标在力量检定和力量豁免时具有劣势。目标使用缩小的武器发动攻击或进行徒手打击 时，命中时将额外减少1d4点伤害（以此法无法将该伤害降至1以下）。</t>
    </r>
  </si>
  <si>
    <t>EnlargeReduce</t>
  </si>
  <si>
    <t>注目术</t>
  </si>
  <si>
    <t>你编排一段使人分心的话语，指定施法距离内任何你能看见的生物。目标生物必须进行一次感知豁免。如果你或你的同伴正在和目标生物战斗，则其自动成功于该豁免。豁免失败时，目标直到法术终止之前进行的感知（察觉）检定与被动察觉 值具有-10减值。</t>
  </si>
  <si>
    <t>Enthrall</t>
  </si>
  <si>
    <t>寻获坐骑</t>
  </si>
  <si>
    <t>你召唤某个异界存在作为忠诚坐骑，坐骑会出现在施法范围内你选择的未占据空间中。此生物使用异界坐骑Otherworldly Steed 的数据。如果你已经有一只以此法术获得的坐骑，则其会被新坐骑替代。
坐骑看起来像一匹大型的可骑乘动物（由你选择），比如一匹马，一头骆驼，一只恐狼或一头驼鹿。你在施展此法术时从下述三种生物类型中选择坐骑的生物类型：天族、妖精、邪魔，其数据中的特定特质由坐骑的生物类型决定。
异界坐骑Otherworldly Steed 
大型天族、妖精或邪魔（由你选择），绝对中立
AC 10+法术环阶
HP 5+每法术环阶10点（坐骑拥有等同于法术环阶数量的d10生命骰）
速度 60尺，飞行60尺（需要法术为四环或以上）
力量18|+4|+4 敏捷12|+1|+1 体质14|+2|+2
智力6|-2|-2 感知12|+1|+1 魅力8|-1|-1
感官 被动察觉11
语言 心灵感应1里（仅对你生效）
CR无（XP0；PB等同于你的熟练加值）
特质Traits
生命连接Life Bond。 当你从一道一环或以上的法术中恢复生命值时，若你位于坐骑5尺内，则坐骑也会恢复相同数量的生命值。
动作Actions
异界猛击Otherworldly Slam。近战攻击检定：加值等同于你的法术攻击调整值，触及5尺。命中：1d8+法术环阶点光耀（天族）、心灵（妖精）、黯蚀（邪魔）伤害。
附赠动作Bonus Actions 
堕落凝视Fell Glare（仅限邪魔，长休充能）。 感知豁免：DC等同于你的法术豁免DC，一名距坐骑60尺内的可见生物。失败：目标直到你下个回合结束为止陷入恐慌状态。
妖精跨步Fey Step（仅限妖精，长休充能）。坐骑连同其骑手传送至你选择的距其60尺内未占空间中。
治愈之触Healing Touch（仅限天族，长休充能）。一名距坐骑5尺内的生物恢复2d8+法术环阶点生命值。
战斗Combat。坐骑是你和你盟友的盟友。战斗时，它共用你的先攻，并在你骑乘它期间视同受控坐骑（如骑乘战斗规则中所定义）。如果你具有失能状态，则坐骑会在你的回合之后立刻进行自己的回合并独立行动，集中精力保护你。
坐骑的消失Disappearance of the Steed。坐骑在其降至0生命值或你死亡时会消失。当它消失时，它会将自己穿着或携带的任何物品留下。如果你再次施展此法术，你决定是重新召唤消失的那头坐骑还是召唤一头不同的。
升环施法： 在生物数据中使用更高的法术环阶。</t>
  </si>
  <si>
    <t>Find Steed</t>
  </si>
  <si>
    <t>寻找陷阱</t>
  </si>
  <si>
    <t>你感测到施法距离范围内，且在你视觉线范围内的任何陷阱。该法术的目标“陷阱”包括任何创造意图是造成伤害或其他危害的物件或装置。因此该法术可以感测警报术Alarm和守卫刻文Glyph of Warding ，也可以发现某个陷坑型机械陷阱。不过它不能揭示地板的某处自然产生的脆弱点，或某处不稳定的天花板，又或是某个隐藏的陷坑。
该法术只单纯揭示陷阱的存在而不能得知陷阱的位置。不过你可以知晓所感测到陷阱其能够构成危害的大致形式。</t>
  </si>
  <si>
    <t>Find Traps</t>
  </si>
  <si>
    <t>火焰刀</t>
  </si>
  <si>
    <t>一片漆树叶</t>
  </si>
  <si>
    <t>你在一只空手上召出一把火焰刀。该刀刃的尺寸和形状近似于一把弯刀并在法术持续时间内持续存在。当你放下刀刃时其将消失不见，但你可以用一个附赠动作重新将其唤出。
你可以用一个魔法动作使用该火焰刀发动一次近战法术攻击。若命中，则目标受到3d6+你的施法属性调整值点火焰伤害。
火焰刀提供半径10尺的明亮光照，以及额外10尺的微光光照。
升环施法：使用的法术位每比二环高一环，此法术的伤害就增加1d6。</t>
  </si>
  <si>
    <t>Flame Blade</t>
  </si>
  <si>
    <t>炽焰法球</t>
  </si>
  <si>
    <t>一颗蜡球</t>
  </si>
  <si>
    <t>一颗直径5尺的火焰球显现在施法距离内地面上的一处未被占据的空间，并在法术持续时间内持续存在。任何生物在火球周围5尺内结束其回合时必须进行一次敏捷豁免。豁免失败者将受到2d6点火焰伤害，豁免成功则伤害减半。
你可以用一个附赠动作将火球沿着地面移动30尺。如果你将火球移入某名生物所占据的空间，则该生物必须进行对抗火球伤害的豁免，而火球在该回合内停止移动。
移动火球时，你可以指引它越过不高于5尺的障碍，或者越过不宽过10尺的陷坑。被火球触碰的任何未被着装或携带的可燃物件都会开始燃烧。火球向其周围散发出半径20尺的明亮光照，以及额外20尺的微光光照。
升环施法：使用的法术位每比二环高一环，其伤害就增加1d6。</t>
  </si>
  <si>
    <t>Flaming Sphere</t>
  </si>
  <si>
    <t>遗体防腐</t>
  </si>
  <si>
    <t>2枚铜币，作为此法术的耗材</t>
  </si>
  <si>
    <t>你触碰一具尸体或其他遗骸。目标在法术持续时间内不会腐烂且无法被转变为亡灵Undead。该法术同样可以有效的延长复活目标的时间限制，因为受该法术影响下度过的时间不计入法术如死者复活Raise Dead 的时间限制内。</t>
  </si>
  <si>
    <t>Gentle Repose</t>
  </si>
  <si>
    <t>造风术</t>
  </si>
  <si>
    <t>一颗豆类种子</t>
  </si>
  <si>
    <t>一股长60尺，宽10尺的线状强风以你为起点向你指定的方向吹去。每名位于线状区域内的生物必须成功于一次力量豁免，豁免失败则沿着线状的方向被推离你15尺。在线状区域内结束其回合的生物也必须进行同样的豁免。
任何生物在线状区域内朝更靠近你的方向移动时，其每移动1尺必须花费2尺的移动力。
强风吹散区域内的毒气或蒸汽，并吹熄蜡烛等不受保护的其他类似火焰。而有保护的火焰（比如提灯）则会剧烈摇晃并有50%的概率被吹熄。
你可以在自己随后的回合内用一个附赠动作改变线状风道的方向。</t>
  </si>
  <si>
    <t>Gust of Wind</t>
  </si>
  <si>
    <t>灼热金属</t>
  </si>
  <si>
    <t>一片铁片和一团火焰</t>
  </si>
  <si>
    <t>指定施法距离内一件你能看见的人造金属物件（例如一把金属武器，或者一套金属质的重甲或中甲），并使该物件变得炽热。施展该法术时，任何与该物件有物理接触的生物均受到2d8点火焰伤害。直到法术终止前，只要这个物件依然在施法距离内，你都可以在你随后的每个回合以一个附赠动作来再次造成此伤害。
若握持或着装该物件的生物因此受到伤害，则该生物必须通过一次体质豁免，否则如果这个生物只要能丢下该物件，该生物就必须丢下该物件。如果该物件没有被丢下，则直至你的下一回合开始为止，该生物进行攻击检定和属性检定时具有劣势。
升环施法：使用的法术位每比二环高一环，此法术的伤害就增加1d8。</t>
  </si>
  <si>
    <t>Heat Metal</t>
  </si>
  <si>
    <t>定身类人</t>
  </si>
  <si>
    <t>一片直的小铁片</t>
  </si>
  <si>
    <t>指定施法距离内一个你能看见的类人生物。该目标必须进行一次感知豁免，豁免失败则其在法术持续时间内陷入麻痹状态。目标在其每回合结束时可以重新进行这次豁免，豁免成功则终止其身上该法术的效应。
升环施法：使用三环或更高法术位施展该法术时，你使用的法术位每比二环高一环，就可以额外指定一个类人作为目标。</t>
  </si>
  <si>
    <t>Hold Person</t>
  </si>
  <si>
    <t>隐形术</t>
  </si>
  <si>
    <t>一根包裹在阿拉伯胶中的睫毛</t>
  </si>
  <si>
    <t>你触碰的一个生物进入隐形状态并维持至法术终止。如果目标进行攻击检定、造成伤害或施展法术，则此法术提前终止。
升环施法：使用三环或更高法术位施展该法术时，你使用的法术位每比二环高一环，就可以额外指定一个生物作为目标。</t>
  </si>
  <si>
    <t>Invisibility</t>
  </si>
  <si>
    <t>敲击术</t>
  </si>
  <si>
    <t>指定施法距离内一个你能看见的物件。该物件可以是一扇门，一个盒子，一个箱子，一副镣铐，一把挂锁，或是一个其他的通过魔法或普通手段来防止被打开的物件。
被一把普通锁锁住的目标其锁会被解开，被卡死的目标会被松开，被闩住的目标会被打开。如果目标被多把锁锁住，则只有一把锁会被打开。
若你指定的目标被法术秘法锁arcane locks 锁住，则该秘法锁被压制 10 分钟，这段时间内目标可被正常开启和关闭。
施展该法术时，受术目标会发出一声响亮的敲击声，其声响最远 300 尺内都能听见。</t>
  </si>
  <si>
    <t>Knock</t>
  </si>
  <si>
    <t>次等复原术</t>
  </si>
  <si>
    <t>你触碰一个生物，并终止正影响它的一种状态：目盲，耳聋，麻痹或中毒 。</t>
  </si>
  <si>
    <t>Lesser Restoration</t>
  </si>
  <si>
    <t>浮空术</t>
  </si>
  <si>
    <t>一个金属弹簧</t>
  </si>
  <si>
    <t>指定施法距离内你能看见的一个生物或未固定的物件，使其垂直上升至多 20 尺，并在该处维持悬浮直至持续时间结束。该法术可悬浮一个重量至多 500 磅的目标。一个非自愿的生物可以对法术进行一次体质豁免，若成功将避免受其影响。
目标只能通过推或拉一个固定的物件或平面（例如一面墙或者天花板）来进行移动，这种移动方式视为等同于攀爬。你可以在自己回合里将目标的悬浮高度向上或向下改变至多 20 尺：如果你自身就是该法术的目标，则你可以进行上升和下降并将其作为你移动的一部分；如果你不是该法术的目标，则你可以使用魔法动作来移动目标，但目标必须始终处于你的施法距离内。
法术终止时，仍处于空中的目标会缓缓飘落到地面。</t>
  </si>
  <si>
    <t>Levitate</t>
  </si>
  <si>
    <t>动植物定位术</t>
  </si>
  <si>
    <t>一块寻血猎犬的皮毛</t>
  </si>
  <si>
    <t>你点名或描述一种特定的野兽生物、植物 生物或非魔法植物。如果5里内存在该类生物或植物，你将知晓其中最近的个体与你的相对方位和距离。</t>
  </si>
  <si>
    <t>Locate Animals or Plants</t>
  </si>
  <si>
    <t>物件定位术</t>
  </si>
  <si>
    <t>一根分叉的树枝</t>
  </si>
  <si>
    <t>你点名或描述一个你熟悉的物件。只要该物件与你相距不超过1000尺，你就会感测到该物件的方位。如果该物件正在移动，则你也将知晓其移动的方向。
该法术可定位一个你认识的特定物件，不过你需要曾经在30尺内近距离看到过该物件至少一次；或者它也可定位特定的一类物件（如某种服装、珠宝、家具、工具或武器）中距你最近个体。如果有任意厚度的铅，即使只是薄薄一片铅片阻挡了你与被定位物件间的通路，则该物件也无法被该法术所定位。</t>
  </si>
  <si>
    <t>Locate Object</t>
  </si>
  <si>
    <t>魔嘴术</t>
  </si>
  <si>
    <t>价值10GP+的翡翠尘，作为法术耗材</t>
  </si>
  <si>
    <t>你将一段信息植入施法距离内的一个物件中，其信息会在满足预设事件时说出。指定一个你能看见且未被另一生物穿着或携带的物件。然后，你可以使用至多10分钟来传达这段不超过25个字的信息。最后再来设定触发法术传达信息的事件。预设的事件发生时，目标物件上出现一张魔法嘴，并用与你相同的声音和音量复述所存储的信息。如果你指定的目标本身有一张嘴或者类似嘴的结构（例如雕像的嘴），则魔法嘴将生成在该嘴结构的位置，使其看起来如同是物件的嘴在说话一样。施展该法术时，你可以让法术在传达过信息后随即终止，或者也可以让法术一直持续并在每次被预设条件触发时进行复述。你所决定的触发条件可以很概括也可以很具体，不过你只能根据目标物件30尺内的视觉或听觉状况来设定条件。例如，你可以命令魔嘴在任何生物移动至物件30尺内时说出信息，或者当其30尺内有银铃响起时说出信息。</t>
  </si>
  <si>
    <t>Magic Mouth</t>
  </si>
  <si>
    <t>魔化武器</t>
  </si>
  <si>
    <t>你触碰一件非魔法武器。直到法术结束前，它成为魔法武器且在进行攻击检定和伤害掷骰时具有+1 加值。你再次施放该法术时，先前的效应提前结束。
升环施法：使用三至五环的法术位时，此法术的加值增加至+2；使用高于五环的法术位时，此法术的加值增加至+3。</t>
  </si>
  <si>
    <t>Magic Weapon</t>
  </si>
  <si>
    <t>马友夫强酸箭</t>
  </si>
  <si>
    <t>大黄粉</t>
  </si>
  <si>
    <t>一支闪烁的绿色箭矢朝一个施法距离内的目标疾速飞去，并炸裂成一滩强酸。对目标进行一次远程法术攻击。若命中，则目标受到4d4点强酸伤害，然后再其下一回合结束时再受到2d4点强酸伤害。若未命中，则箭矢的酸液溅射目标，造成初始伤害一半的伤害。
升环施法：使用的法术位每比二环高一环，此法术伤害（包括初始和后续）增加1d4。</t>
  </si>
  <si>
    <t>Melf's Acid Arrow</t>
  </si>
  <si>
    <t>心灵尖刺</t>
  </si>
  <si>
    <t>指定施法距离内一个可见生物，你驱动一道心灵能量的锥刺侵入目标的心智。目标必须进行一次感知豁免检定，失败则会受到3d8点心灵伤害，成功则只受一半伤害。在目标豁免失败时，你在法术结束之前能时刻得知目标所在的位置，只要你们还处于同一个存在位面上。当你拥有目标的位置信息时，目标将不能对你躲藏，并且如果它隐形了，在对抗你时它不能从这个状态中受益。
升环施法：使用的法术位每比二环高一环，此法术的伤害就增加1d8。</t>
  </si>
  <si>
    <t>Mind Spike</t>
  </si>
  <si>
    <t>镜影术</t>
  </si>
  <si>
    <t>三个你自身的幻象分身出现在你所处的空间中。直到法术终止前，分身都会随你移动，并模仿你的动作和位置变换，使人无法追踪判断哪一个是你的真身。
在法术持续时间内，每当一个生物攻击命中你时，为每个剩余分身投掷一个d6，只要有任一d6骰出3或以上，一个分身代你承受本次命中并随之被摧毁。分身无视所有其他的伤害和效应。三个分身都被摧毁时，法术随之结束。
如果一名生物处于目盲状态，或拥有盲视，或拥有真实视觉，则该法术无法影响该生物。</t>
  </si>
  <si>
    <t>Mirror Image</t>
  </si>
  <si>
    <t>迷踪步</t>
  </si>
  <si>
    <t>你短暂地被银白的雾气所笼罩，传送到至多30尺内一个你能看见且未被占据的空间。</t>
  </si>
  <si>
    <t>Misty Step</t>
  </si>
  <si>
    <t>月华之光</t>
  </si>
  <si>
    <t>一片月籽藤叶</t>
  </si>
  <si>
    <t xml:space="preserve">指定施法距离内一点，一束淡淡的银光照耀在以该点为中心半径5尺、高40尺的柱状区域内。直至法术终止前，柱状区域内处于微光光照。在施展该法术的后续回合内，你能够以一个魔法动作将柱状区域移动至多60尺。柱状区域出现时，每个区域内的生物进行一次体质豁免检定，豁免失败则受到2d10的光耀伤害，且若该生物已变形（例如受法术变形术Polymorph影响），其变回真实形态，且无法在离开柱状区域前变形。豁免成功则仅承受前述伤害的一半。在法术区域进入生物空间、生物进入法术区域或在其内结束回合时，目标生物也需要进行该体质豁免检定。一名生物每回合仅需进行一次该豁免检定。
升环施法：使用的法术位每比二环高一环，此法术的伤害就增加1d10。 </t>
  </si>
  <si>
    <t>Moonbeam</t>
  </si>
  <si>
    <t>涅斯图魔法灵光</t>
  </si>
  <si>
    <t>一小片方形丝绸</t>
  </si>
  <si>
    <t>你触及一名自愿生物或者一个未被着装或携带的物件以在其上设置一道幻术。生物获得下述伪装效应，物件则获得下述虚假灵光效应。效应持续至法术结束。如果你持续30日每日均对同一个目标施展此法术，则幻术会的持续时间变为直至被解除。
伪装Mask（生物）。选择一种目标实际生物类型以外的生物类别。法术和其他魔法效应会将目标生物视为属于该生物类型来处理效果。
虚假灵光False Aura（物件）。你改变物件在能够侦测魔法灵光的侦测法术和魔法效应（例如侦测魔法Detect Magic）中呈现的样子。你可以使一个非魔法物件如同具有魔法性、让一个魔法物件如同只是非魔法的，或者改变物件的魔法灵光学派，使其呈现出由你选择的特定魔法学派的灵光。</t>
  </si>
  <si>
    <t>Nystul's Magic Aura</t>
  </si>
  <si>
    <t>行动无踪</t>
  </si>
  <si>
    <t>槲寄生烧成的灰烬</t>
  </si>
  <si>
    <t>你在法术持续时间于30尺光环范围内散发出遮蔽灵光。位于灵光范围期间，你和每名你选择的生物在敏捷（隐匿）检定上获得+10加值，且不会留下任何踪迹。</t>
  </si>
  <si>
    <t>Pass without Trace</t>
  </si>
  <si>
    <t>魅影之力</t>
  </si>
  <si>
    <t>一点羊毛</t>
  </si>
  <si>
    <t>你试图向施法距离内你可见的一名生物脑内植入一段幻术。目标进行一次智力豁免。豁免失败时，你创造出一个不大于10尺立方且只能被目标感知到的魅影物件，生物或其他你指定的现象。魅影将持续至法术终止。该魅影包括声音、温度和其他感官因素。目标可以用研究动作进行一次对抗你法术豁免DC的智力（调查）检定来仔细研究这个魅影。检定成功则目标意识到魅影是一道幻术，法术终止。目标受法术影响期间会认定魅影是真实的，并且会合理化任何与其互动产生的不合逻辑的结果。例如，若目标试图走过一座跨越峡谷的魅影桥时从桥上坠落并存活，它仍然会相信该桥是真实存在的，并且会觉得是其他什么东西导致了自己的坠落。若魅影代表着一名危险生物或一处灾害，则受术目标甚至还会受到幻术的直接伤害。在每个你的回合中，若目标在魅影区域内或距其5尺范围内，则上述形态的魅影可以对目标造成2d8点心灵伤害。而此时目标则会感觉该伤害类型与魅影适于造成的一种伤害类型相符。</t>
  </si>
  <si>
    <t>Phantasmal Force</t>
  </si>
  <si>
    <t>治疗祷言</t>
  </si>
  <si>
    <t>在施展法术期间一直位于施法距离内的至多五名生物获得等同于一次短休的增益，并且恢复2d8点生命值。一名生物直到完成一次长休为止不能再次被此法术影响。
升环施法：使用的法术位每比二环高一环，此法术的治疗量就增加1d8。</t>
  </si>
  <si>
    <t>Prayer of Healing</t>
  </si>
  <si>
    <t>防护毒素</t>
  </si>
  <si>
    <t>你触及一名生物并结束其陷入的中毒状态。在持续时间内，目标为避免陷入或结束中毒状态所做的豁免具有优势，且具有毒素伤害的抗性。</t>
  </si>
  <si>
    <t>Protection from Poison</t>
  </si>
  <si>
    <t>衰弱射线</t>
  </si>
  <si>
    <t>你向施法距离内的一名生物射出一道让人衰弱的能量射线。目标必须进行一次体质豁免。豁免成功，则目标直到你的下个回合开始在下一次攻击掷骰上具有劣势。豁免失败，目标在持续时间内在使用力量属性的D20检定上具有劣势。同样的，在此期间，其所有的伤害掷骰获得1d8的减值。目标在每个其回合结束时可以重复豁免，豁免成功则法术终止。</t>
  </si>
  <si>
    <t>Ray of Enfeeblement</t>
  </si>
  <si>
    <t>魔绳术</t>
  </si>
  <si>
    <t>一段绳子</t>
  </si>
  <si>
    <t>你接触一段绳子。绳的一端会向上升起，直到整条绳索都垂直于地面挂在空中或绳子触及天花板。绳子向上的末端存在一个隐形的3尺×5尺大小的传送门，其通往一个法术持续时间内一直存在的异次元空间。沿着绳子向上攀爬即可进入此空间，绳子也可被拽入空间中或从空间中丢出。空间可容纳至多八名体型不超过中型的生物。攻击，法术和其他效应均无法穿过空间而出入，但空间内的生物可以通过入口看到外面的景象。法术终止时，异次元空间内的一切东西都会掉出来。</t>
  </si>
  <si>
    <t>Rope Trick</t>
  </si>
  <si>
    <t>灼热射线</t>
  </si>
  <si>
    <t>你射出三道火焰的射线。你可以将其射向施法距离内的一个或多个目标。每道射线需要你分别进行一次远程法术攻击。若命中，则目标受到2d6点火焰伤害。
升环施法：使用的法术位每比二环高一环，你就能多创造出一道射线。</t>
  </si>
  <si>
    <t>Scorching Ray</t>
  </si>
  <si>
    <t>识破隐形</t>
  </si>
  <si>
    <t>一撮滑石粉</t>
  </si>
  <si>
    <t>1 小时</t>
  </si>
  <si>
    <t>在法术持续时间内，你能看见任何处于隐形状态的生物和物件，如同其处于正常可见状态一样。你还能够看见以太位面，以太位面的生物和物件在你眼中会以幽灵般的半透明形状显现。</t>
  </si>
  <si>
    <t>See Invisibility</t>
  </si>
  <si>
    <t>粉碎音波</t>
  </si>
  <si>
    <t>一片云母</t>
  </si>
  <si>
    <t>一阵震耳欲聋的噪音在你指定的施法距离内一点上爆发出来。以该点为中心半径10尺球状区域内的所有生物必须要进行一次体质豁免。豁免失败将受到3d8点雷鸣伤害；豁免成功受到半数伤害。构装生物进行该豁免时具有劣势。如果法术的范围内存在不被任何生物着装携带的非魔法物件，则它也要受到该伤害。
升环施法：使用的法术位每比二环高一环，此法术的伤害就增加1d8。</t>
  </si>
  <si>
    <t>Shatter</t>
  </si>
  <si>
    <t>闪耀斩</t>
  </si>
  <si>
    <t xml:space="preserve">被该次攻击检定命中的目标会在此次攻击中额外受到2d6点光耀伤害。目标会发出5尺半径的明亮光照直至法术结束。在此期间，对其进行的攻击检定具有优势，且其无法受益于隐形状态。
升环施法： 使用的法术位每比二环高一环，此法术的额外伤害就增加1d6。
（译注：此法术原名为印记斩Branding Smite） </t>
  </si>
  <si>
    <t>Shining Smite</t>
  </si>
  <si>
    <t>沉默术</t>
  </si>
  <si>
    <t>你指定施法距离内一点，以该点为中心半径20尺的球状区域在法术持续时间内将无法产生任何声音，且外界的声音也无法于该区域内传播。任何完全位于该区域内的生物和物件都将免疫雷鸣伤害，而完全位于该区域内的任何生物都将陷入耳聋状态。此外，该区域内无法施展包含言语成分的法术。</t>
  </si>
  <si>
    <t>Silence</t>
  </si>
  <si>
    <t>蛛行术</t>
  </si>
  <si>
    <t>一滴沥青和一只蜘蛛</t>
  </si>
  <si>
    <t>你触碰一个自愿的生物，并使其在法术终止前能够在垂直表面上下或横向移动，其甚至可以在天花板上倒挂着移动而不需要用到双手。另外，目标获得等同于其速度的攀爬速度。
升环施法：使用的法术位每比2环高一环，你便能额外指定一个生物作为法术的目标。</t>
  </si>
  <si>
    <t>Spider Climb</t>
  </si>
  <si>
    <t>荆棘丛生</t>
  </si>
  <si>
    <t>150尺</t>
  </si>
  <si>
    <t>七根棘刺</t>
  </si>
  <si>
    <t>以施法距离内一点为中心周围20尺半径的球状区域扭曲变形，大片坚硬的棘刺破土而出。该区域在法术持续时间内视为困难地形。而生物进入该区域或在其中移动时，其每移动5尺就要受到2d4点穿刺伤害。法术导致的地面变形经过伪装，使其看起来并无异样。如果生物在你施展此法术时看不见这片区域，则它只有在执行一次搜索动作并成功进行一次感知（察觉或求生）检定后，才能在进入之前发现该区域隐藏的危险。</t>
  </si>
  <si>
    <t>Spike Growth</t>
  </si>
  <si>
    <t>灵体武器</t>
  </si>
  <si>
    <t>你创造出一块形似你选择的武器的浮空灵体力场，并使其持续到法术持续时间结束。它出现在施法距离内你选择的一点，并且你可以立即对该武器周围5尺内的一个生物发动一次近战法术攻击。若命中，则目标受到 1d8+你的施法属性调整值 点力场伤害。在你之后的回合内，你可以用附赠动作让该武器移动至多20尺，并再对它周围5尺内的一个生物发动一次同样的攻击。
升环施法： 使用的法术位每比二环高一环，此法术的伤害就增加1d8。</t>
  </si>
  <si>
    <t>Spiritual Weapon</t>
  </si>
  <si>
    <t>暗示术</t>
  </si>
  <si>
    <t>一滴蜂蜜</t>
  </si>
  <si>
    <t>专注，至多8小时</t>
  </si>
  <si>
    <t>你以魔法影响施法距离内一个你能看见的生物，并对其施以某种行动暗示（不超过25个词）。由你指定的受术目标必须能听到并理解你的话语。暗示必须听起来可行，也不明显涉及伤害目标及其盟友的内容。比如说，你可以说“把邪教的宝库钥匙找来，然后给我。”或者：“别打了，让图书馆保持安静，然后出去别回来。”
目标必须成功通过一次感知豁免，否则在法术持续时间内陷入魅惑，若你或你的盟友对其造成伤害此法术将提前结束。被魅惑的生物会尽其所能地执行你所描述的行为。你所暗示的行为可能会在法术持续时间内始终一直进行，而如果你所暗示的活动可以用更短的时间完成，则此法术会在目标完成了你的要求后随即终止。</t>
  </si>
  <si>
    <t>Suggestion</t>
  </si>
  <si>
    <t>野兽召唤术</t>
  </si>
  <si>
    <t>一根羽毛、一簇毛皮和一条装在镀金橡果内的鱼尾、价值至少200GP</t>
  </si>
  <si>
    <t>你唤来一个野兽灵魄。其使用下文野兽灵魄的数据，并会在施法距离内一处你可见的未被占据的空间中显现。当你施展法术时，从天空、大地和海洋中选择一个环境。该生物会显化符合为你所选的环境的形态，其数据中的部分特性也受此影响。该生物会在生命值降为0或是法术结束时消失。
该生物是你的盟友（对你的其它盟友亦是如此）。它在战斗中使用你的先攻，并在你回合结束后立即行动。它遵从于你的口头指令（无需任何动作）。如果你不发令，它将执行回避动作并远离危险。
升环施法：该生物的数据使用新的法术环阶。
野兽灵魄Bestial Spirit 
小型野兽，绝对中立
AC 11+法术环阶
HP 20（仅天空）或30（仅大地与海洋）+每比2环高的法术环阶5点
速度30尺；攀爬30尺（仅大地）；飞行60尺（仅天空）；游泳30尺（仅海洋）
力量18|+4|+4 敏捷11|+0|+0 体质16|+3|+3
智力5|-3|-3 感知14|+2|+2 魅力5|-3|-3
感官：黑暗视觉60尺，被动察觉12
语言：理解你的语言
CR无（XP0；PB等于你的熟练加值）
特质Traits
飞掠Flyby（仅天空）。灵魄飞行离开敌人的触及时不会引发对方的借机攻击。
集群战术Pack Tactics（仅限大地与海洋）。灵魄至少有一个未处于失能的盟友在目标生物5尺内时，它对该生物发动的攻击检定有优势。
水下呼吸Water Breathing（仅海洋）。灵魄只能在水下呼吸。
动作Actions
多重攻击Multiattack。灵魄发动等于法术环阶一半次数的撕裂攻击（向下取整）。
撕裂Rend。近战攻击检定：加值等于你的法术攻击加值，触及5尺。命中：1d8+4+法术环阶的挥砍伤害。</t>
  </si>
  <si>
    <t>Summon Beast</t>
  </si>
  <si>
    <t>守护之链</t>
  </si>
  <si>
    <t>一对铂金戒指（每个价值50GP+），你和目标在法术持续时间内需保持佩戴它们</t>
  </si>
  <si>
    <t>你触碰另一个自愿的生物，在法术终止前在你和目标之间建立一道神秘的连接。目标位于你身边60尺内时，其AC和豁免检定具有+1加值，且对所有伤害具有抗性。此外，每当目标受到伤害时，你也会受到同样的伤害。
如果你的生命值降至0，或你与目标距离超过60尺，则该法术终止。如果再有守护之链被施展于两个已被连接生物中的任意一方时，原有的法术将立刻终止。</t>
  </si>
  <si>
    <t>Warding Bond</t>
  </si>
  <si>
    <t>蛛网术</t>
  </si>
  <si>
    <t>少量蜘蛛网</t>
  </si>
  <si>
    <t>你在法术范围内指定一点召唤出一大片黏黏的网状物。蛛网覆盖以该点为源点的 20 尺立方区域，并在法术持续时间内维持存在。蛛网范围内视为困难地形，并造成轻度遮蔽 。
如果蛛网没有被固定在两个固体中间（例如墙和树）或跨在一片地板、墙壁、天花板中间，则蛛网会自动坍塌，而导致法术在你的下一回合开始时终止。摊在平面上的蛛网深度为 5 尺。
在一个回合中首次进入蛛网，或任何在蛛网中开始其回合的生物必须进行一次敏捷豁免，否则陷入束缚状态，直至其离开蛛网或挣脱束缚。
一名因蛛网陷入束缚状态的生物可以用一个动作进行一次对抗你的法术豁免DC的力量（运动）检定。如果成功，则其不再被束缚。
蛛网是可燃的。任何5尺立方区域的蛛网在遇到火焰后会在一轮内燃烧殆尽，并对火焰中开始其回合的生物造成2d4点火焰伤害。</t>
  </si>
  <si>
    <t>Web</t>
  </si>
  <si>
    <t>诚实之域</t>
  </si>
  <si>
    <t>你创造一个抵御谎言的魔法区域，该区域以施法距离内一点为中心，覆盖以该点为中心15尺半径的球状区域。在法术终止前，生物在一回合中首次进入该区域，或在该区域内开始其回合时，必须进行一次魅力豁免。豁免失败者在该区域内不能故意说谎。而你可以知晓每个受术生物的豁免是成功与否。
受影响的生物可以意识到该效果的存在，因此它可以主动回避回答那些通常会以谎言答复的问题。该生物在回答问题时可以闪烁其词、避重就轻，但说的仍然需要是真话。</t>
  </si>
  <si>
    <t>Zone of Truth</t>
  </si>
  <si>
    <t>活化死尸</t>
  </si>
  <si>
    <t>一滴血、一块肉、以及一点骨灰</t>
  </si>
  <si>
    <t>在施法距离内指定一具中型或小型类人生物遗骨或遗体。目标将变为一名亡灵生物：遗骨变为骷髅skeleton，遗体则变为丧尸zombie。（这些生物的资料卡见附录B）。
在你的每个回合内，你可以使用一个附赠动作并以精神命令操纵距离你 60 尺内，任何你用此法术制造的生物（如果你操纵多个生物，则你的命令可以同时传达给它们全部或是其中的某几个，不过每次只能为它们下达同一命令）。你决定被操纵生物下回合执行的动作和如何移动。或者，你也可以选择下达一条宽泛的命令（比如守护某个房间或走廊）。如果你没有下达命令，该生物将执行回避动作且只会为躲避危险而移动。一旦被下达命令，该生物会持续执行命令直到任务完成。
这些受操纵生物只会在 24 小时内服从你的命令，在之后，它们会停止遵守你下达的命令。若你想将对这些生物的控制时间再延长24小时，则你必须在当前24小时的时间段终止前再次对这些生物施展该法术。法术的此种用法只能延长你对至多四个你使用此法术所创造生物的控制时间，而不会创造新的生物。
升环施法：使用的法术位每比三环高一环，你就能多唤起两只亡灵生物，或是多延长对两只亡灵生物的控制。你无法用同一具骸骨或遗体唤起多个亡灵生物。</t>
  </si>
  <si>
    <t>Animate Dead</t>
  </si>
  <si>
    <t>活力灵光</t>
  </si>
  <si>
    <t>一道灵光自你身上发出并形成30尺半径的光环 。当你创造灵光时和它持续时你的每个回合开始，你可以为区域内的一名生物回复2d6点生命值。</t>
  </si>
  <si>
    <t>Aura of Vitality</t>
  </si>
  <si>
    <t>希望信标</t>
  </si>
  <si>
    <t>在施法距离内指定任意数量的生物，并使其在法术持续时间内进行的感知豁免和死亡豁免具有优势。此外，其获得的所有治疗的生命值恢复量都取最大值。</t>
  </si>
  <si>
    <t>Beacon of Hope</t>
  </si>
  <si>
    <t>降咒</t>
  </si>
  <si>
    <r>
      <rPr>
        <sz val="11"/>
        <color theme="1"/>
        <rFont val="仿宋"/>
        <family val="3"/>
        <charset val="134"/>
      </rPr>
      <t>你触碰一名生物。该生物必须进行一次感知豁免并成功通过，否则将在法术持续时间内被诅咒。直到诅咒终止前，目标会遭受以下一项效应，由你选择：
　　</t>
    </r>
    <r>
      <rPr>
        <sz val="11"/>
        <color theme="1"/>
        <rFont val="Arial"/>
        <family val="2"/>
      </rPr>
      <t>•</t>
    </r>
    <r>
      <rPr>
        <sz val="11"/>
        <color theme="1"/>
        <rFont val="仿宋"/>
        <family val="3"/>
        <charset val="134"/>
      </rPr>
      <t xml:space="preserve"> 选择一项属性。目标使用该属性所进行的属性检定和豁免检定具有劣势。
　　</t>
    </r>
    <r>
      <rPr>
        <sz val="11"/>
        <color theme="1"/>
        <rFont val="Arial"/>
        <family val="2"/>
      </rPr>
      <t>•</t>
    </r>
    <r>
      <rPr>
        <sz val="11"/>
        <color theme="1"/>
        <rFont val="仿宋"/>
        <family val="3"/>
        <charset val="134"/>
      </rPr>
      <t xml:space="preserve"> 目标对你发动的攻击检定具有劣势。
　　</t>
    </r>
    <r>
      <rPr>
        <sz val="11"/>
        <color theme="1"/>
        <rFont val="Arial"/>
        <family val="2"/>
      </rPr>
      <t>•</t>
    </r>
    <r>
      <rPr>
        <sz val="11"/>
        <color theme="1"/>
        <rFont val="仿宋"/>
        <family val="3"/>
        <charset val="134"/>
      </rPr>
      <t xml:space="preserve"> 在战斗中，目标在其每回合开始时必须进行一次感知豁免，豁免失败则在该回合中被迫执行回避动作。
　　</t>
    </r>
    <r>
      <rPr>
        <sz val="11"/>
        <color theme="1"/>
        <rFont val="Arial"/>
        <family val="2"/>
      </rPr>
      <t>•</t>
    </r>
    <r>
      <rPr>
        <sz val="11"/>
        <color theme="1"/>
        <rFont val="仿宋"/>
        <family val="3"/>
        <charset val="134"/>
      </rPr>
      <t xml:space="preserve"> 若你的攻击检定或法术对目标造成了伤害，则目标还会额外受到1d8黯蚀伤害。
升环施法：使用四环法术位施展此法术时，你可以维持此法术的专注至多10分钟。使用五环及更高环阶的法术位施展此法术时，此法术无需专注，并且持续时间变为8小时（5~6环法术位）或24小时（7~8环法术位）。若你使用9环法术位施展此法术，则此法术会一直持续到被解除为止。</t>
    </r>
  </si>
  <si>
    <t>Bestow Curse</t>
  </si>
  <si>
    <t>致盲斩</t>
  </si>
  <si>
    <t>被该次攻击检定命中的目标会在此次攻击中额外受到3d8点光耀伤害，并且目标陷入目盲状态直至法术结束。陷入目盲的目标在其每回合结束时可以进行一次体质豁免，豁免成功则终止其身上的法术。
升环施法：你使用的法术位每比三环高一环，此法术的额外伤害提升1d8。</t>
  </si>
  <si>
    <t>Blinding Smite</t>
  </si>
  <si>
    <t>闪现术</t>
  </si>
  <si>
    <t>你在法术持续时间内每次自己回合结束时掷一次d6。结果为4~6时，你从你现在身处的存在位面消失，并出现在以太位面Ethereal Plane （若你本已身处以太位面，此法术会立即终止）。在你身处以太位面期间，你可以观测到你所离开位面的黑白影像，但只限于60尺之内。你只能影响其他身处以太位面的生物，或被其影响。并且处于其他位面的生物在没有能够观测到以太位面事物的特殊能力的情况下，同样无法观测到你。
你会在你的下一回合开始时返回其他位面；如果当你法术终止时身处以太位面，你同样会返回其他位面。你返回原先位面时会出现在一个你原先位置10尺之内你可见的未被占据的空间之中。若在此范围内没有未被占据的空间，则你会出现在最近的未被占据的空间之中。</t>
  </si>
  <si>
    <t>Blink</t>
  </si>
  <si>
    <t>召雷术</t>
  </si>
  <si>
    <t>一朵风暴云在施法距离内你上方可见的一点出现。风暴云表现为高10尺、半径60尺的柱状形状。
当你施展这道法术时，选择风暴云下方你可见的一点。一束闪电从云端射向该点。位于该点5尺内的生物进行一次敏捷豁免。豁免失败者受到3d10闪电伤害，豁免成功则仅受半数伤害。
直至法术结束前，你都可以执行一个魔法动作以此法再次降下闪电，并指定闪电射向同一点或另选一点。
若施法时你身处暴风雨环境下的室外，则该法术令你得以控制空中的风暴而非创造一朵新的风暴云。在这种状况下，法术伤害增加1d10。
升环施法：使用的法术位每比三环高一环，此法术的伤害就增加 1d10。</t>
  </si>
  <si>
    <t>Call Lightning</t>
  </si>
  <si>
    <t>鹰眼术</t>
  </si>
  <si>
    <t>1里</t>
  </si>
  <si>
    <t>一件价值100GP+的法具：选择聆听则为一个以珠宝装饰的号角，选择观察则为一颗玻璃眼珠</t>
  </si>
  <si>
    <t>你在施法距离内某处创造一个隐形的传感器，该处可以是你熟悉的地点（你曾到访过或看见过的地方），也可以是你不熟悉的显眼处（比如一扇门后，拐角位置或树林里）。这一无形体且不受伤害的传感器会在法术持续期间停留在该地。
施展该法术时，你可以选择进行观察或是聆听。你可以通过传感器以所选的感官方式感测，如同你处在传感器所在的空间。你能够以一个附赠动作在观察和聆听之间切换。
可以看见传感器的生物（例如一名生物受益于识破隐形See Invisibility或真实视觉 时）会看到传感器是一个拳头大小的发光球体。</t>
  </si>
  <si>
    <t>Clairvoyance</t>
  </si>
  <si>
    <t>咒唤兽群</t>
  </si>
  <si>
    <r>
      <rPr>
        <sz val="11"/>
        <color theme="1"/>
        <rFont val="仿宋"/>
        <family val="3"/>
        <charset val="134"/>
      </rPr>
      <t>你将自然精魂咒唤在施法距离内一处你可见的未占据空间中，他们以幽灵般虚幻兽群的形象出现（占据大型空间）。兽群在持续时间内一直存在，并且你可以选择动物精魂的形态——例如狼群、蛇群或是鸟群。
　　</t>
    </r>
    <r>
      <rPr>
        <sz val="11"/>
        <color theme="1"/>
        <rFont val="Arial"/>
        <family val="2"/>
      </rPr>
      <t>•</t>
    </r>
    <r>
      <rPr>
        <sz val="11"/>
        <color theme="1"/>
        <rFont val="仿宋"/>
        <family val="3"/>
        <charset val="134"/>
      </rPr>
      <t xml:space="preserve"> 在你位于兽群5尺内期间，你的力量豁免检定具有优势。当你在你的回合移动时，你可以令兽群也移动至多30尺到一处你可见的未被占据的空间中。
　　</t>
    </r>
    <r>
      <rPr>
        <sz val="11"/>
        <color theme="1"/>
        <rFont val="Arial"/>
        <family val="2"/>
      </rPr>
      <t>•</t>
    </r>
    <r>
      <rPr>
        <sz val="11"/>
        <color theme="1"/>
        <rFont val="仿宋"/>
        <family val="3"/>
        <charset val="134"/>
      </rPr>
      <t xml:space="preserve"> 每当兽群在移动中进入了一名你可见的生物10尺内时、一名你可见的生物进入位于兽群10尺内的空间或是在该空间结束其回合时，你都可以迫使该生物进行一次敏捷豁免检定。失败则该生物受到3d10挥砍伤害。一名生物一回合只需要进行一次该豁免。
升环施法： 使用的法术位每比三环高一环，此法术的伤害就增加1d10。</t>
    </r>
  </si>
  <si>
    <t>Conjure Animals</t>
  </si>
  <si>
    <t>箭如雨下</t>
  </si>
  <si>
    <t>一把价值1+CP的近战或远程武器</t>
  </si>
  <si>
    <t>你挥舞作为施法材料的武器，令无数外形相似的灵体武器（或是适合这把武器的弹药）显现，它们将向前射出并在之后消失。每名由你选择且你可见的位于60尺锥形区域内的生物进行一次敏捷豁免检定，豁免失败者将受到5d8点力场伤害，豁免成功则只受一半伤害。
升环施法：使用的法术位每比三环高一环，此法术的伤害就增加1d8。</t>
  </si>
  <si>
    <t>Conjure Barrage</t>
  </si>
  <si>
    <t>法术反制</t>
  </si>
  <si>
    <t>反应，当你看见距你60尺内一名生物施展一道具有言语、姿势或材料成分的法术时可用</t>
  </si>
  <si>
    <t>你试图打断一名正在施法的生物。该生物进行一次体质豁免。豁免失败则法术消散且毫无效果，并且用于施展法术的动作、附赠动作或反应随之浪费。如果那道法术是使用法术位施展的，则法术位并不会被消耗。</t>
  </si>
  <si>
    <t>Counterspell</t>
  </si>
  <si>
    <t>造粮术</t>
  </si>
  <si>
    <t>你在施法距离内的地面上或容器中创造45磅食物和30加仑淡水，该法术创造的食物和水均可用于避免饥饿和脱水 的危害。食物味道寡淡却营养丰富，并且看起来像一种你选择的食物，水也是干净的。食物24小时内未被食用即会变坏。</t>
  </si>
  <si>
    <t>Create Food and Water</t>
  </si>
  <si>
    <t>十字军披风</t>
  </si>
  <si>
    <t>你在30尺光环区域内散发出魔法灵光。位于灵光范围期间，你和你盟友以一把武器或一次徒手打击命中时将额外造成1d4光耀伤害。</t>
  </si>
  <si>
    <t>Crusader's Mantle</t>
  </si>
  <si>
    <t>昼明术</t>
  </si>
  <si>
    <t>法术持续时间内，日光从施法距离内一点发散而出，充斥一个60尺半径的球状区域。日光区域视为明亮光照，且会再额外散发出60尺微光光照。
或者，你可以将此法术施展于一个未被着装或携带的物件上，使日光充斥以该物件为中心的60尺光环区域。将该物件用不透明的东西遮掩（比如用碗或头盔盖住）时，会将日光隔绝。
如果法术区域与任何三环或更低环阶法术创造的黑暗 区域重叠，则这些造暗的法术将被解除。</t>
  </si>
  <si>
    <t>Daylight</t>
  </si>
  <si>
    <t>解除魔法</t>
  </si>
  <si>
    <t>在施法距离内指定一名生物、一个物件或一处魔法效应。所有影响该目标的三环或更低环阶法术即告终止。每个影响目标的四环或更高环阶法术都需要以你的施法属性进行一次属性检定（DC 10+目标法术环阶），检定成功时目标法术终止。
升环施法：你直接终止影响目标的小于等于该施法环阶的法术效应。</t>
  </si>
  <si>
    <t>Dispel Magic</t>
  </si>
  <si>
    <t>元素武器</t>
  </si>
  <si>
    <t>你触碰的一把非魔法武器变成魔法武器。选择下述伤害类型之一：强酸、寒冷、火焰、闪电、雷鸣。法术持续时间内，用那把武器发动的攻击检定具有+1加值，且在命中时造成额外1d4点你所选伤害类型的伤害。
升环施法：使用五环或六环法术位时，攻击检定的加值变为+2，额外伤害变为2d4。使用七环或更高法术位时，攻击检定的加值变为+3，额外伤害变为3d4。</t>
  </si>
  <si>
    <t>Elemental Weapon</t>
  </si>
  <si>
    <t>恐惧术</t>
  </si>
  <si>
    <t>一根白羽毛</t>
  </si>
  <si>
    <t>30尺锥状区域内的所有生物必须通过一次感知豁免，豁免失败者将丢弃其所有持握物，并在法术持续时间内陷入恐慌状态。
以此法被恐慌的生物必须在自己回合中执行疾走动作，并以此寻找最安全的路线远离你，直至其无路可走为止。如果该生物结束其回合时位于一处使其视觉线中没有你的空间，则其可以再进行一次感知豁免，豁免成功则法术对该生物的效应终止。</t>
  </si>
  <si>
    <t>Fear</t>
  </si>
  <si>
    <t>假死术</t>
  </si>
  <si>
    <t>一撮墓土</t>
  </si>
  <si>
    <t>你触碰一名自愿生物并将其变得如死者般的僵直。
在法术持续时间内，对目标进行的任何肉体检查和法术检测都显示目标已死亡。该状况下的目标陷入目盲以及失能状态，且其速度降至0。
目标对除了心灵伤害外的所有伤害类型具有抗性，也免疫中毒状态。</t>
  </si>
  <si>
    <t>Feign Death</t>
  </si>
  <si>
    <t>火球术</t>
  </si>
  <si>
    <t>一颗蝙蝠粪和硫磺搓成的小球</t>
  </si>
  <si>
    <t>明亮的闪光从你的指间飞驰向施法距离内你指定的一点，并随着一声低吼迸成一片烈焰。目标点周围半径20尺球状区域内的每个生物必须进行一次敏捷豁免。豁免失败者将受到8d6点火焰伤害，豁免成功则伤害减半。
区域内所有未被着装或携带的可燃物件会开始燃烧。
升环施法：使用的法术位每比三环高一环，此伤害就增加1d6。</t>
  </si>
  <si>
    <t>Fireball</t>
  </si>
  <si>
    <t>飞行术</t>
  </si>
  <si>
    <t>一根羽毛</t>
  </si>
  <si>
    <t>你触碰一个自愿生物。目标在法术持续时间内获得60尺的飞行速度且可以悬浮。法术终止时，如果目标仍在空中，否则其随即坠落，除非其有办法阻止坠落。
升环施法：使用的法术位每比三环高一环，你就可以额外再指定一名生物作为法术目标。</t>
  </si>
  <si>
    <t>Fly</t>
  </si>
  <si>
    <t>气化形体</t>
  </si>
  <si>
    <t>一小块纱布</t>
  </si>
  <si>
    <t>在法术持续时间内，你将触碰到的一名自愿生物连同其穿着携带物一起转化为一团云雾。如果目标的生命值降至0或其用一个魔法动作终止其身上的法术效应，则该目标身上的法术终止。
在该形态下，目标唯一的移动方式即是10尺的飞行速度，且可以悬浮。该目标可以进入并占据一个已有生物占据的空间。其拥有钝击、穿刺和挥砍伤害的抗性，其对倒地状态免疫，且进行的力量、敏捷、体质豁免具有优势。该目标可以穿过狭隙，但会将液态物质视为固体表面。
云雾形态的目标不能讲话或操作物件，其随身携带或持握的物件不会掉落，也不能被使用或与之互动。另外，目标也不能攻击或施法。
升环施法：使用的法术位每比三环高一环，你就可以额外再指定一名生物作为法术目标。</t>
  </si>
  <si>
    <t>Gaseous Form</t>
  </si>
  <si>
    <t>守卫刻纹</t>
  </si>
  <si>
    <t>价值200GP+的钻石尘，作为法术耗材</t>
  </si>
  <si>
    <t>直到被解除或触发</t>
  </si>
  <si>
    <r>
      <rPr>
        <sz val="11"/>
        <color theme="1"/>
        <rFont val="仿宋"/>
        <family val="3"/>
        <charset val="134"/>
      </rPr>
      <t>施展该法术时，你在某个表面（诸如桌面或地板）或某个能被关闭以隐藏刻纹的物件里（诸如书本或宝箱）刻画一个会释放魔法效应的刻纹。该刻纹可以覆盖直径不超过10尺的区域。如果受术的物件或表面从被施法位置被移开超过10尺，则其刻纹被破坏且法术不被触发即告终止。
结界刻纹近乎不可察觉，其需要以你的法术豁免DC进行一次成功的感知（察觉）检定才能被发现。
刻画刻纹时，你可以设定其触发条件，并从爆炸符文和法术刻纹两者中选择其一：
　　</t>
    </r>
    <r>
      <rPr>
        <sz val="11"/>
        <color theme="1"/>
        <rFont val="Arial"/>
        <family val="2"/>
      </rPr>
      <t>•</t>
    </r>
    <r>
      <rPr>
        <sz val="11"/>
        <color theme="1"/>
        <rFont val="仿宋"/>
        <family val="3"/>
        <charset val="134"/>
      </rPr>
      <t xml:space="preserve"> 设定触发条件Set the Trigger。你在施法时设定结界刻纹的触发条件。刻画于表面的刻纹其最典型的触发条件包括：触碰或站立在刻纹上；拿掉覆盖在刻纹上的物件；进入刻纹一定范围。刻画在物件内的刻纹其最典型的触发条件包括：打开物件；看到该刻纹。刻纹一旦被触发，则该法术终止。
你可以进一步细化触发条件，比如设定只有特定生物种类（例如设定为只影响异怪Aberration）才能触发刻纹。你还可以为生物设置不触发刻纹的条件，诸如某人说出特定口令。
　　</t>
    </r>
    <r>
      <rPr>
        <sz val="11"/>
        <color theme="1"/>
        <rFont val="Arial"/>
        <family val="2"/>
      </rPr>
      <t>•</t>
    </r>
    <r>
      <rPr>
        <sz val="11"/>
        <color theme="1"/>
        <rFont val="仿宋"/>
        <family val="3"/>
        <charset val="134"/>
      </rPr>
      <t xml:space="preserve"> 爆炸符文Explosive Runes。符文被触发时将在半径 20尺球状区域内爆发魔法能量。区域内的每个生物必须进行一次敏捷豁免。豁免失败者将受到5d8点强酸，冷冻，火焰，闪电，或雷鸣伤害（你在制造刻纹时指定），豁免成功则伤害减半。
　　</t>
    </r>
    <r>
      <rPr>
        <sz val="11"/>
        <color theme="1"/>
        <rFont val="Arial"/>
        <family val="2"/>
      </rPr>
      <t>•</t>
    </r>
    <r>
      <rPr>
        <sz val="11"/>
        <color theme="1"/>
        <rFont val="仿宋"/>
        <family val="3"/>
        <charset val="134"/>
      </rPr>
      <t xml:space="preserve"> 法术刻纹Spell Glyph。作为创造符文的一部分，你可以施展一道已准备的的三环或更低环阶法术，并将其储备在所创造的刻纹中。所储备法术必须以单一生物或一个区域为目标，而被储存的法术以该方式施展时并不会立即生效。
符文被触发时，所储备的法术即刻生效。如果法术有一个目标，则以触发刻纹的生物为目标；如果法术影响一个区域，则该区域以此生物为中心；如果法术召唤敌对Hostile生物或创造伤害性质的物件或陷阱，则这些造物将显现在尽可能靠近触发者的地方并攻击它。如果法术需要专注，则其效应将在其最大持续时间内维持。
升环施法：使用的法术位每比三环高一环，此法术的爆炸符文的伤害就增加1d8。如果你创造一个法术刻纹，则其储备法术的环阶至高可以与你施放守卫刻文时使用的法术位环阶相同。</t>
    </r>
  </si>
  <si>
    <t>Glyph of Warding</t>
  </si>
  <si>
    <t>加速术</t>
  </si>
  <si>
    <t>一片甘草根切片</t>
  </si>
  <si>
    <t>指定施法距离内一个你能看见的自愿生物。直至法术终止前，目标速度翻倍；其AC获得+2加值；其进行敏捷豁免时具有优势；其每个回合都可作出一个额外的动作，但该动作只能用于执行攻击动作（仅一次攻击），或者疾走、撤离、躲藏和利用动作。
法术终止时，目标将泛起一阵倦意使其失能并且速度为0，持续至其下一回合结束。</t>
  </si>
  <si>
    <t>Haste</t>
  </si>
  <si>
    <t>哈达之欲</t>
  </si>
  <si>
    <t>一条酸洗过的触须</t>
  </si>
  <si>
    <t>你打开了通往遥远国度的大门，展现其中难以名状的恐怖。以施法距离内一点为中心，一个半径 20 尺的黑暗球状区域显现并持续至该法术终止。这个球状区域是困难地形，并同时发散着能在30尺内听到的不谐耳语和啜嚼噪音。任何光照，无论是魔法光照还是其他光照都无法照亮这个区域，而完全进入该区域内的生物将陷入目盲状态。
任何在区域内开始其回合的生物将受到 2d6 点冷冻伤害。任何在区域内结束其回合的生物必须进行一次敏捷豁免，豁免失败者将因异界软体触手的触碰而受到2d6点强酸伤害。
升环施法：使用的法术位每比三环高一环，此法术造成的寒冷或者强酸伤害（由你选择）就增加1d6。</t>
  </si>
  <si>
    <t>Hunger of Hadar</t>
  </si>
  <si>
    <t>催眠图纹</t>
  </si>
  <si>
    <t>一撮五彩纸屑</t>
  </si>
  <si>
    <t>你在施法距离内一处边长 30 尺的立方区域内创造出一个在空中舞动旋转的彩色图纹。图纹在出现片刻后消失，然后迫使区域内每个看到它的生物进行一次感知豁免，豁免失败者将在法术持续时间内陷入魅惑状态。在被该法术魅惑期间，被该法术魅惑的生物陷入失能状态，且速度降为0。
如果受术生物受到任何伤害，或有其他生物用一个动作将其从恍惚中摇醒，则其身上的此效应将提前终止。</t>
  </si>
  <si>
    <t>Hypnotic Pattern</t>
  </si>
  <si>
    <t>李欧蒙小屋</t>
  </si>
  <si>
    <t>一个小水晶珠子</t>
  </si>
  <si>
    <t>你释放出一个固定在原位的半径10尺的光环，光环会在法术持续时间内保持存在。如果光环的大小不足以完全覆盖其区域内的所有生物，法术会失败。
在施展此法术时即处于光环内的生物和物件可以自由进出光环。而所有其他生物和物件都将被阻挡而无法进出。三环或更低级别的法术既无法直接穿过光环施放，也无法使法术效果延伸至穿过光环。
光环内的空气干爽舒适，而无论外侧气候如何。你可以在法术终止前使光环内的光照变为昏暗光照或黑暗（无需任何动作）。光环从外侧看是不透明的，并且呈现出由你选定的颜色，但从内侧看它则是透明的。
当你离开该区域，或试图再次施展该法术时，法术将提前终止。</t>
  </si>
  <si>
    <t>Leomund's Tiny Hut</t>
  </si>
  <si>
    <t>闪电箭矢</t>
  </si>
  <si>
    <t>附赠动作，在你使用武器发动远程攻击命中一个目标或失手时紧接可用</t>
  </si>
  <si>
    <t>当你的攻击命中一个目标或失手时，该武器的弹药或该武器本身变为一束闪电。作为目标从这次攻击中受到的任何伤害或其他效果的替代，若该攻击命中，则目标受到4d8点闪电伤害，若该攻击未命中，则受到一半伤害。无论你的攻击是否命中，目标周围10尺范围内的每个生物都必须进行一次敏捷豁免，豁免失败则受到2d8点闪电伤害，豁免成功则受到半数伤害。
在此之后，该弹药或武器变回其正常形态。
升环施法：使用的法术位每比三环高一环，上述两种效应的伤害都各增加1d8。</t>
  </si>
  <si>
    <t>Lightning Arrows</t>
  </si>
  <si>
    <t>闪电束</t>
  </si>
  <si>
    <t>一些毛皮和一把水晶权杖</t>
  </si>
  <si>
    <t>一束100 尺长，5尺宽的线状闪电从你的位置向你指定的方向爆发迸出。在线状区域内的每个生物必须进行一次敏捷豁免，豁免失败者将受到8d6点闪电伤害，豁免成功则受到一半伤害。
升环施法： 使用的法术位每比三环高一环，此法术的伤害就增加1d6。</t>
  </si>
  <si>
    <t>Lightning Bolt</t>
  </si>
  <si>
    <t>防护法阵</t>
  </si>
  <si>
    <t>总价值100GP+的盐和银粉，作为法术耗材</t>
  </si>
  <si>
    <r>
      <rPr>
        <sz val="11"/>
        <color theme="1"/>
        <rFont val="仿宋"/>
        <family val="3"/>
        <charset val="134"/>
      </rPr>
      <t>指定施法距离内地面上你能看见的一点，并以该处为中心创造一个 10 尺半径、20 尺高的柱状魔法能量。承载能量柱的地面或其他平面上会显现出闪光的符文。
指定以下生物类型中的一种或多种：天族、元素、精类、邪魔、亡灵。法阵将会对被指定类型的生物产生以下效应：
　　</t>
    </r>
    <r>
      <rPr>
        <sz val="11"/>
        <color theme="1"/>
        <rFont val="Arial"/>
        <family val="2"/>
      </rPr>
      <t>•</t>
    </r>
    <r>
      <rPr>
        <sz val="11"/>
        <color theme="1"/>
        <rFont val="仿宋"/>
        <family val="3"/>
        <charset val="134"/>
      </rPr>
      <t xml:space="preserve"> 该类生物不能以非魔法手段主动进入柱状区域内。如果该类生物试图使用传送或位面旅行进入此区域，则它必须先进行一次魅力豁免以判定其是否成功。
　　</t>
    </r>
    <r>
      <rPr>
        <sz val="11"/>
        <color theme="1"/>
        <rFont val="Arial"/>
        <family val="2"/>
      </rPr>
      <t>•</t>
    </r>
    <r>
      <rPr>
        <sz val="11"/>
        <color theme="1"/>
        <rFont val="仿宋"/>
        <family val="3"/>
        <charset val="134"/>
      </rPr>
      <t xml:space="preserve"> 该类生物对柱状区域内的生物进行攻击检定时具有劣势。
　　</t>
    </r>
    <r>
      <rPr>
        <sz val="11"/>
        <color theme="1"/>
        <rFont val="Arial"/>
        <family val="2"/>
      </rPr>
      <t>•</t>
    </r>
    <r>
      <rPr>
        <sz val="11"/>
        <color theme="1"/>
        <rFont val="仿宋"/>
        <family val="3"/>
        <charset val="134"/>
      </rPr>
      <t xml:space="preserve"> 柱状区域内的目标不受该类生物所魅惑、恐慌、或附身 。
施展该法术时，你可以选择让魔法作用于相反的方向来阻止特定种类的生物离开柱状区域内，以保护区域外的目标。
升环施法：使用的法术位每比三环高一环，法术持续时间就增加 1 小时。</t>
    </r>
  </si>
  <si>
    <t>Magic Circle</t>
  </si>
  <si>
    <t>高等幻象</t>
  </si>
  <si>
    <t>你创造一个影像，其形象来自一个大小不超过边长20尺立方体的物件或生物，或是其他的可视现象。影像出现在施法距离内你能看见的一处位置并在法术持续时间内维持存在。它看起来完全是真实的，并且还具有相应的声音、气味和温度。但它无法造成伤害或让人陷入任何状态。
在该幻象施法距离内时，你可以用一个魔法动作将影像移动到施法距离内的另一个位置。影像改变位置时，你可以改变影像的外表来使它移动得更自然。例如，如果你创造了一个生物的影像并移动它，则你可以改变影像，使它看起来就像是在走路。或者你也可以让影像在不同的时间发出不同的声音，甚至可以让它参与一场对话。
由于影像可以被穿过，任何与该影像进行的物理互动都会暴露其幻象的本质。一个生物用研究动作调查影像时，它可以进行一次对抗你的法术豁免 DC 的智力（调查）检定，以判定是否看穿幻象。辨出幻象的生物可以看破该影像，而影像的其他感官效应在该生物看来会变得微弱而模糊。
升环施法： 使用高于三环的法术位时，法术时间持续至被解除且无需专注。</t>
  </si>
  <si>
    <t>Major Image</t>
  </si>
  <si>
    <t>群体治愈真言</t>
  </si>
  <si>
    <t>指定施法距离内至多六个你能看见的生物，使它们恢复 2d4+你的施法属性调整值 点生命值。
升环施法：使用的法术位每比三环高一环，此法术的治疗量就增加1d4。</t>
  </si>
  <si>
    <t>Mass Healing Word</t>
  </si>
  <si>
    <t>融身入石</t>
  </si>
  <si>
    <t>你进入一个足以完全容纳你身体的石料物件或石料表面内，使你自己和你携带的所有装备在法术持续时间内与石料融为一体。你必须触碰该石料来做到这件事。此后，任何非魔法的感官都无法看到或侦测到你的存在。
与石料融合后，你看不到外界发生了什么，并且你为了聆听外界声音而进行的任何感知（察觉）检定都具有劣势。与石头融合时，你仍能感觉到时间的流逝，也可以对自己施展法术。你无法移动，但可以消耗5尺移动力从进入石头的地方离开石内，法术随之终止。
石头所受的轻微损伤不会对你造成伤害，不过石头部分损毁或者形状改变时（改变到不再适合容纳你的程度），会将你从石中排挤出并对你造成6d6点力场伤害。石头完全损毁（或材质改变）时，也会将你从石中排挤出并对你造成50点力场伤害。被排挤出石头时，你移动至距离第一次进入石头处最近的一处未被占据的空间位置，并陷入倒地状态。</t>
  </si>
  <si>
    <t>Meld Into Stone</t>
  </si>
  <si>
    <t>回避侦测</t>
  </si>
  <si>
    <t>一撮价值25+GP的钻石尘，作为法术耗材</t>
  </si>
  <si>
    <t>法术持续时间内，你使你触及的目标不会被预言法术发现。目标可以是一名自愿生物，或者是在任何方向上都不超过10尺的一处地点或一个物件。目标不能被任何预言法术选为目标，也不能被魔法探知传感器感测到。</t>
  </si>
  <si>
    <t>Nondetection</t>
  </si>
  <si>
    <t>魅影驹</t>
  </si>
  <si>
    <t>一匹拟真的大型马形生物出现在施法距离内你选择的一处地面上的未占据空间中。你决定该生物的样貌，且它装备着鞍座、嚼子和缰绳。这些随法术创造的装备一旦离开坐骑10尺即化作一阵烟消失不见。
在法术持续时间内，你或者一名你指定的生物可以骑乘此坐骑。坐骑使用乘用马Riding Horse的数据（见附录B），不过其具有100尺速度，每小时可行进13里。法术终止时，坐骑会慢慢消失，骑手有1分钟的时间下马。坐骑受到伤害时，法术将提前终止。</t>
  </si>
  <si>
    <t>Phantom Steed</t>
  </si>
  <si>
    <t>植物滋长</t>
  </si>
  <si>
    <t>动作（繁茂）或8小时（丰产）</t>
  </si>
  <si>
    <r>
      <rPr>
        <sz val="11"/>
        <color theme="1"/>
        <rFont val="仿宋"/>
        <family val="3"/>
        <charset val="134"/>
      </rPr>
      <t>该法术将活力引导给特定区域中的植物。本法术的施法时间取决于你选择下述效应之一：繁茂或丰产。
　　</t>
    </r>
    <r>
      <rPr>
        <sz val="11"/>
        <color theme="1"/>
        <rFont val="Arial"/>
        <family val="2"/>
      </rPr>
      <t>•</t>
    </r>
    <r>
      <rPr>
        <sz val="11"/>
        <color theme="1"/>
        <rFont val="仿宋"/>
        <family val="3"/>
        <charset val="134"/>
      </rPr>
      <t xml:space="preserve"> 繁茂Overgrowth。 你指定施法距离内一点，以该点为中心100尺半径的球状范围内的普通植物将变的粗壮繁茂。一名穿过该区域的生物每移动1尺必须花费4尺移动力。你可以在该法术范围内空出一块或多块任意大小的区域，将其排除在法术效应影响之外。
　　</t>
    </r>
    <r>
      <rPr>
        <sz val="11"/>
        <color theme="1"/>
        <rFont val="Arial"/>
        <family val="2"/>
      </rPr>
      <t>•</t>
    </r>
    <r>
      <rPr>
        <sz val="11"/>
        <color theme="1"/>
        <rFont val="仿宋"/>
        <family val="3"/>
        <charset val="134"/>
      </rPr>
      <t xml:space="preserve"> 丰产Enrichment。 你指定施法距离内一点，距该点半里内的植物的产量将在365日内被强化。这些植物收获时将产出两倍于正常产量的作物。这些植物每年仅能从一道植物滋长中获益。</t>
    </r>
  </si>
  <si>
    <t>Plant Growth</t>
  </si>
  <si>
    <t>防护能量</t>
  </si>
  <si>
    <t>法术持续时间内，你触及的一名自愿生物具有你选择的一种伤害类型的抗性：强酸、寒冷、火焰、闪电、雷鸣。</t>
  </si>
  <si>
    <t>Protection from Energy</t>
  </si>
  <si>
    <t>移除诅咒</t>
  </si>
  <si>
    <t>你触及一名生物或一个物件，使影响其的所有诅咒终止。如果该物件是一件诅咒魔法物品，则其上的诅咒不会因此解除，不过该法术可以打破诅咒物品与其所有者之间的同调，使其所有者可以将其卸下或丢弃。</t>
  </si>
  <si>
    <t>Remove Curse</t>
  </si>
  <si>
    <t>回生术</t>
  </si>
  <si>
    <t>一颗价值300+GP的钻石，作为法术耗材</t>
  </si>
  <si>
    <t>你接触在前一分钟内刚刚死亡的一名生物。该生物以1点生命值回生。该法术不能复活老死的生物，也不能恢复失去的身体部位。</t>
  </si>
  <si>
    <t>Revivify</t>
  </si>
  <si>
    <t>短讯术</t>
  </si>
  <si>
    <t>无限</t>
  </si>
  <si>
    <t>你向你所遇到过的或某人遇到过且向你描述的一个生物发送一小段二十五个词以内的信息。该生物将在心中听到你的信息，它可以认出你是发讯人（如果他认识你），还可以用同样的方式立即回复一条讯息。法术会让目标能够理解你短讯的信息。
你的传讯可以跨越任意长的距离，甚至能跨越位面。但如果目标和你不在同一个存在位面，则短讯术有5%的概率无法到达。如果讯息没能传达，你将得知这一结果。
在收到你的信息后，一个生物能够屏蔽你以这个法术再次对他发信的能力，持续8小时。如果你在这段时间内试图送出另一条信息，你会得知你的短讯被屏蔽，并且法术失败。</t>
  </si>
  <si>
    <t>Sending</t>
  </si>
  <si>
    <t>雪雨暴</t>
  </si>
  <si>
    <t>一把迷你雨伞</t>
  </si>
  <si>
    <t>你指定施法距离内一点，并使以该点为中心，高40尺、半径20尺的柱状区域内降下冷冻刺骨的冻雨和冰雹直至法术终止。该区域将造成重度遮蔽，且该区域内的一切外露的暴露在外的明火都将被浇熄。
该区域的地面变成困难地形。生物在一个回合内首次进入该区域或在区域内开始其回合时，它必须成功通过一次敏捷豁免，否则将陷入倒地状态并失去专注。</t>
  </si>
  <si>
    <t>Sleet Storm</t>
  </si>
  <si>
    <t>缓慢术</t>
  </si>
  <si>
    <t>一滴糖浆</t>
  </si>
  <si>
    <t>你在施法距离内一处 40 尺立方区域内指定至多六个生物并扭曲其周围的时间流。每个目标都要进行一次感知豁免，豁免失败则受到该法术影响直至法术终止。
被影响的生物的速度减半，而其 AC 和敏捷豁免都获得-2减值，且不能执行反应。该生物在其回合内可以执行一个动作或一个附赠动作，但不能在一回合内同时执行以上两者。当它执行攻击动作时，它只能发动一次攻击。
如果该生物尝试施展一个具有姿势成分的法术，则其法术有25%的概率会因为生物的动作太慢而施展失败。
受术生物在其每个回合结束时可以再进行一次该感知豁免，豁免成功则终止其身上的该法术效应。</t>
  </si>
  <si>
    <t>Slow</t>
  </si>
  <si>
    <t>死者交谈</t>
  </si>
  <si>
    <t>燃烧的香</t>
  </si>
  <si>
    <t>10 分钟</t>
  </si>
  <si>
    <t>你给施法距离内一具你所选择的尸体施以复生的表象，让其可回答你的问题。这具尸体必须还有一张嘴，且如果该生物死亡时是亡灵生物，则施法失败。若目标尸体在最近十日内曾被作为该法术的目标，则本次施法失败。
在法术终止前，你可以向尸体提出最多五个问题。尸体的知识和它讲述的语言仅限于其生前所知。回答通常是简短，含糊或重复的语句，而且如果你对尸体抱有敌意或者尸体认为你是其敌人，它也不是一定要给你正确的答复。该法术并不能让该生物的灵魂返回其身体中，只是活化了其精神。因此，该尸体不能认知新的信息，不能理解它死后发生的任何事情，也不能对未来的事件作出猜测。</t>
  </si>
  <si>
    <t>Speak with Dead</t>
  </si>
  <si>
    <t>植物交谈</t>
  </si>
  <si>
    <t>自身（半径30尺）</t>
  </si>
  <si>
    <t>你给周围30尺固定灵光范围内的植物赋予有限的知觉与活力，使其能够与你沟通和按你的简单命令行事。你可以向植物询问最近一日该法术区域内所发生的事，由此了解有关于曾路过这里的生物、天气和其他状况的信息。
你可以让区域内因植物生长形成的困难地形（如灌木丛）在法术持续时间内变为普通地形。你也可以在法术持续时间内将有植物生长的普通地形变成困难地形。
虽然该法术并不能让植物拔根而起或移动位置，但它们可以依你的意愿而活动自己的树枝、藤蔓和茎秆。
如果法术区域内有一个植物生物，你可以如同有共同语言一般与其交流。</t>
  </si>
  <si>
    <t>Speak with Plants</t>
  </si>
  <si>
    <t>灵体卫士</t>
  </si>
  <si>
    <t>一卷祷文</t>
  </si>
  <si>
    <t>在法术持续时间内，保护性的灵体环绕在你的周围15尺灵光范围内飞舞。如果你属于善良或中立阵营，则它们飘渺的身形看起来像是天使或精类生物（由你选择）。如果你属于邪恶阵营，则它们将形如邪魔。
施展此法术时，你可以指定特定生物让其不受该法术影响。除此之外的生物在灵光区域内将受法术影响致速度被减半。当灵光进入一个生物的空间、一个生物进入灵光或在灵光内结束回合时，，其必须进行一次感知豁免。豁免失败将受到3d8点光耀伤害（如果你属于善良或中立）或3d8点黯蚀伤害（如果你属于邪恶），豁免成功则只受到一半伤害。一名生物一回合仅需进行一次该豁免。
升环施法： 使用的法术位每比三环高一环，此法术的伤害就增加 1d8。</t>
  </si>
  <si>
    <t>Spirit Guardians</t>
  </si>
  <si>
    <t>臭云术</t>
  </si>
  <si>
    <t>一个臭鸡蛋</t>
  </si>
  <si>
    <t>你以施法距离内一点为中心创造出一团半径 20 尺的黄色恶心气体云团球状区域。云团内形成重度遮蔽。云团会一直留在空中，直至法术持续时间结束或一阵强风（比如造风术Gust of Wind创造的强风）将其吹散为止。
如果一个生物在其回合开始时位于云团内，则它必须成功通过一次体质豁免。否则将陷入中毒状态直到其当前回合结束。因此而陷入中毒状态期间，该生物无法执行动作或附赠动作。</t>
  </si>
  <si>
    <t>Stinking Cloud</t>
  </si>
  <si>
    <t>妖精召唤术</t>
  </si>
  <si>
    <t>一朵价值300+GP的镀金花</t>
  </si>
  <si>
    <t>你唤来一个妖精灵魄。其使用下文妖精灵魄的数据，并会在施法距离内一处你可见的未被占据的空间中显现。当你施展法术时，从愤怒、欢欣、诡诈中选择一种情绪，该生物会显现为一个受你所选情绪所影响的妖精生物，其数据中的部分特性也受此影响。该生物会在生命值降为0或是法术结束时消失。
该生物是你的盟友（对你的其它盟友亦是如此）。它在战斗中使用你的先攻，并在你回合结束后立即行动。它遵从于你的口头指令（无需任何动作）。如果你不发令，它将执行回避动作并远离危险。
升环施法：该生物的数据使用新的法术环阶。
妖精灵魄Fey Spirit 
小型妖精，绝对中立
AC 12+法术环阶
HP 30+每比3环高的法术环阶10点
速度30尺，飞行30尺
力量13|+1|+1 敏捷16|+3|+3 体质14|+2|+2
智力14|+2|+2 感知11|+0|+0 魅力16|+3|+3
免疫：魅惑
感官：黑暗视觉60尺，被动察觉10
语言：木族语，理解你的语言
CR无（XP0；PB等于你的熟练加值）
动作Actions
多重攻击Multiattack。灵魄发动等于法术环阶一半次数的妖精之剑攻击（向下取整）。
妖精之剑Fey Blade。近战攻击检定：加值等于你的法术攻击加值，触及5尺。命中：2d6+3+法术环阶的力场伤害。
附赠动作Bonus Actions 
妖精步伐Fey Step。灵魄魔法地传送至多30尺至一处它可见的未被占据空间。随后根据所选情绪，灵魄触发以下效果之一：
愤怒Fuming。妖精在此回合结束前的下一次攻击检定具有优势。
欢欣Mirthful。感知豁免：DC等于你的法术豁免DC，单一灵魄10尺内它可见的生物。失败：目标受你和灵魄魅惑1分钟或直到目标受到任意伤害。
诡诈Tricksy。灵魄令魔法黑暗充斥于它5尺内的一处10尺立方区域，持续直到灵魄的下一回合结束。</t>
  </si>
  <si>
    <t>Summon Fey</t>
  </si>
  <si>
    <t>亡灵召唤术</t>
  </si>
  <si>
    <t>一个价值300+GP的镀金头骨</t>
  </si>
  <si>
    <t>你唤来一个亡灵灵魄。其使用下文亡灵灵魄的数据，并会在施法距离内一处你可见的未被占据的空间中显现。当你施展法术时，从幽体，腐尸，骷髅中选择一类，该生物会显现为你所选的那类形态的亡灵生物，其数据中的部分特性也受此影响。该生物会在生命值降为0或是法术结束时消失。
该生物是你的盟友（对你的其它盟友亦是如此）。它在战斗中使用你的先攻，并在你回合结束后立即行动。它遵从于你的口头指令（无需任何动作）。如果你不发令，它将执行回避动作并远离危险。
升环施法：该生物的数据使用新的法术环阶。
亡灵灵魄Undead Spirit
中型亡灵，绝对中立
AC 11+法术环阶
HP 30（仅幽体和腐尸）或20（仅骷髅）+每比3环高的法术环阶10点
速度30尺；飞行40尺（悬浮；仅幽体）
力量12|+1|+1 敏捷16|+3|+3 体质15|+2|+2
智力4|-3|-3 感知10|+0|+0 魅力9|-1|-1
免疫：暗蚀，毒素；力竭，恐慌，麻痹，中毒
感官：黑暗视觉60尺，被动察觉10
语言：理解你说的语言
CR无（XP0；PB等于你的熟练加值）
特质Traits
腐灭灵光Festering Aura（仅腐尸）。体质豁免：DC等于你的法术豁免DC，所有在以灵魄为源点5尺光环区域内开始其回合的生物（除了你）。失败：该生物陷入中毒状态，直至其下一回合开始。
虚体移动Incorporeal Movement（仅幽体）。灵魄可以虚体化并如同穿过困难地形一样穿过其他生物和物件。如果它在自己的回合结束时仍处在物件内部，则被挪到距离最近的未被占据的位置，且每因此移动5尺便受到1d10力场伤害。
动作Actions
多重攻击Multiattack。灵魄发动等于法术环阶一半次数的攻击（向下取整）。
致死之触Deathly Touch（仅幽体）。近战攻击检定：加值等于你的法术攻击加值，触及5尺。命中：1d8+3+法术环阶的暗蚀伤害，且目标陷入恐慌状态直至其下一回合结束。
暗澹箭Grave Bolt（仅骷髅）。远程攻击检定：加值等于你的法术攻击加值，射程150尺。命中：2d4+3+法术环阶的暗蚀伤害。
腐灭爪击Rotting Claw（仅腐尸）。近战攻击检定：加值等于你的法术攻击加值，触及5尺。命中：1d6+3+法术环阶的挥砍伤害。若目标具有中毒状态，则其还会陷入麻痹状态，直至其下一回合结束。</t>
  </si>
  <si>
    <t>Summon Undead</t>
  </si>
  <si>
    <t>巧言术</t>
  </si>
  <si>
    <t>一座微缩庙塔</t>
  </si>
  <si>
    <t>此法术赋予你触碰的一名生物理解任何其能看见或听见的口语或手语的能力。此外，当目标生物以口语或手语进行交流时，任何能听见其话语或看见其手语，且知道至少一门语言的生物都能理解它。</t>
  </si>
  <si>
    <t>Tounges</t>
  </si>
  <si>
    <t>吸血鬼之触</t>
  </si>
  <si>
    <t>你的阴影环绕着的手可以吸取他人的生命力来为自己疗伤。对你触及范围内的一名生物进行一次近战法术攻击。若命中，则目标受到3d6点暗蚀伤害，而你则恢复数值等同于所造成暗蚀伤害一半的生命值。
该法术终止前，你可以在你的每个回合内用魔法动作对相同或不同的生物进行一次这样的攻击。
升环施法：使用的法术位每比三环高一环，此法术的伤害就提高1d6。</t>
  </si>
  <si>
    <t>Vampiric Touch</t>
  </si>
  <si>
    <t>水下呼吸</t>
  </si>
  <si>
    <t>一根短芦苇</t>
  </si>
  <si>
    <t>在法术终止前，该法术让施法距离内你所选择的至多十个自愿生物获得在水下呼吸的能力。此外，受术者依然保有正常的呼吸能力。</t>
  </si>
  <si>
    <t>Water Breathing</t>
  </si>
  <si>
    <t>水上行走</t>
  </si>
  <si>
    <t>一个软木塞</t>
  </si>
  <si>
    <t>此法术赋予你选择的位于施法距离内的至多十名生物在持续时间内将任何液体表面（比如水、酸、泥、雪、流沙、岩浆等）视作无害的固体地面穿越的能力（穿越熔岩的生物仍然会因炽热受到伤害）。
一名受影响的目标必须用一个附赠动作才能穿过液体表面进入其内部，反之亦然。然而若目标将因坠落而进入液体中，则其会直接穿过液体表面，如常进入其内部。</t>
  </si>
  <si>
    <t>Water Walk</t>
  </si>
  <si>
    <t>风墙术</t>
  </si>
  <si>
    <t>一把扇子和一根羽毛</t>
  </si>
  <si>
    <t>你指定施法距离内地面上一点并从中升起了一道烈风形成的墙壁。你可以造出长度至多 50 尺、高度至多15尺、厚度至多1尺的风墙。你可以自由塑造该墙的形状，不过它必须沿着地面形成一条连续的轨道。风墙持续存在至法术终止。
风墙出现时，所有位于风墙所占据区域内的生物必须进行一次力量豁免。豁免失败，受到4d8点钝击伤害。豁免成功，则只受一半伤害。
烈风可以阻隔浓雾、烟尘和其他气体。体型为小型或更小的飞行生物或物件无法穿过风墙。重量轻的物质带进风墙中时将被向上吹飞。对墙后目标射出的箭、矢和其他普通飞行物会被朝上吹走而直接判为打失。巨人或攻城器械投出的巨石和类似的飞行物不受影响。处于气化形态的生物无法穿过风墙。</t>
  </si>
  <si>
    <t>Wind Wall</t>
  </si>
  <si>
    <t>秘法眼</t>
  </si>
  <si>
    <t>一点蝙蝠毛皮</t>
  </si>
  <si>
    <t>你在施法距离内创造出一个漂浮在空中，不受伤害的隐形魔法眼。你通过精神连接接收秘法眼传来的视觉信息。秘法眼拥有30尺黑暗视觉且可以观察任何方向。
以一个附赠动作，你可以让秘法眼向任意方向移动30尺。固体障碍物会阻挡秘法眼的移动，但它可以穿过任何直径大于1寸的缝隙。</t>
  </si>
  <si>
    <t>Arcane Eye</t>
  </si>
  <si>
    <t>生命灵光</t>
  </si>
  <si>
    <t>一道灵光自你身上发出并形成 30 尺半径的光环。在灵光范围内时，你和你的盟友获得对暗蚀伤害的抗性，生命值上限也无法被降低。另外，生命值为0的盟友在灵光范围内开始其回合时，恢复1点生命值。</t>
  </si>
  <si>
    <t>Aura of Life</t>
  </si>
  <si>
    <t>净化灵光</t>
  </si>
  <si>
    <t>一道灵光自你身上发出并形成 30 尺半径的光环。在灵光范围内时，你和你的盟友获得毒素伤害的抗性，并且在为抵抗和结束下列状态所做的豁免时具有优势：目盲、魅惑、耳聋、恐慌、麻痹、中毒、震慑 。</t>
  </si>
  <si>
    <t>Aura of Purity</t>
  </si>
  <si>
    <t>放逐术</t>
  </si>
  <si>
    <t>一颗五芒星</t>
  </si>
  <si>
    <t>一个在你施法距离内你可见的生物必须进行一次魅力豁免，豁免失败者会在法术持续期间被转移到一个无害的半位面，身处半位面期间，目标会陷入失能状态。当法术终止时，目标将重新出现在其被放逐前的位置。如果该位置被占据，则目标将出现在距离该位置最近的一个未被占据空间。
若该目标的生物类型为异怪、天族、元素、妖精或邪魔，则在法术持续一分钟后，目标不会返回。该目标会被改为转移到与其生物类型相关的一个位面（由DM决定）中的随机地点。
升环施法：使用的法术位每比四环高一环，你就能多指定一个生物作为此法术的目标。</t>
  </si>
  <si>
    <t>Banishment</t>
  </si>
  <si>
    <t>枯萎术</t>
  </si>
  <si>
    <t>一个在你施法距离内你可见的生物必须进行一次体质豁免，豁免失败者受到8d8黯蚀伤害，成功则只受到一半伤害。生物类型为植物的生物在此豁免中自动失败。
作为此法术的另一种用法，你可以指定一个并非生物的非魔法植物为目标（如树木或灌木），该植物不进行豁免，直接凋谢死亡。
升环施法：使用的法术位每比四环高一环，此法术的伤害就提升1d8。</t>
  </si>
  <si>
    <t>Blight</t>
  </si>
  <si>
    <t>魅惑怪物</t>
  </si>
  <si>
    <t>一名你可见的施法距离内的生物进行一次感知豁免，如果你或者你的盟友正在与它战斗，它在这次豁免上具有优势。豁免失败，则目标陷入魅惑状态直至法术结束，或在你或你的盟友对它造成伤害时提前结束。魅惑生物将对你友好。当法术结束时，目标会知道它曾被你魅惑。
升环施法：使用的法术位每比四环高一环，你就可以额外指定一名生物作为此法术的目标。</t>
  </si>
  <si>
    <t>Charm Monster</t>
  </si>
  <si>
    <t>强迫术</t>
  </si>
  <si>
    <t>每名你所选择的，施法距离内你可见的生物必须成功通过一次感知豁免，否则陷入魅惑状态直至法术结束。
法术持续期间，你能够以一个附赠动作指向你的某个水平方向。随后，每个魅惑目标在其下一回合里必须使用其所有的移动力，采取最安全的路线，尽可能的向该方向移动。在以此法移动后，目标可以重新豁免，豁免成功则结束其身上该法术的效应。</t>
  </si>
  <si>
    <t>Compulsion</t>
  </si>
  <si>
    <t>困惑术</t>
  </si>
  <si>
    <t>三颗坚果壳</t>
  </si>
  <si>
    <t>你选择施法距离内一点为中心，半径10尺球状区域内的每名生物必须成功通过一次感知豁免，否则目标不能执行反应和附赠动作，并且必须在其每个回合开始时掷1d10，根据下表内容来决定当回合的行为。
1d10 当前回合行为 
1 目标不执行任何动作，并使用所有移动力来进行移动。掷 1d4 决定其方向：1.北、2.东、3.南、4.西。 
2~6 目标不进行移动也不执行任何动作。 
7~8 该生物不进行移动，执行动作来对其触及内一名随机生物发动一次近战攻击。如果没有生物在其触及内，则目标本回合不执行任何动作。 
9~10 该生物自行决定当回合行为。受影响的目标在其每回合结束时都可以重新豁免，豁免成功则结束其身上该法术的效应。 
升环施法： 使用的法术位每比四环高一环，此法术的球状区域半径就增加5尺。</t>
  </si>
  <si>
    <t>Confusion</t>
  </si>
  <si>
    <t>咒唤微元素群</t>
  </si>
  <si>
    <t>你在持续时间内将来自元素位面的精魂咒唤在你身周15尺光环区域内，让它们环绕着你飞舞。直到法术结束为止，你进行的任何攻击检定命中光环区域内的生物时，都会额外造成2d8点伤害。额外伤害的类型为强酸、寒冷、火焰或闪电的一种（在你发动攻击时选择）。
此外，光环区域内的地面对你的敌人而言是困难地形。
升环施法： 使用的法术位每比四环高一环，此法术的伤害就增加2d8。</t>
  </si>
  <si>
    <t>Conjure Minor Elementals</t>
  </si>
  <si>
    <t>咒唤林地卫士</t>
  </si>
  <si>
    <t>你在持续时间内将许多自然精魂咒唤在你身周10尺光环区域内。每当光环区域进入一名你可见生物所在的空间时、一名你可见的生物进入光环区域或是在该区域结束其回合时，你都可以迫使该生物进行一次感知豁免检定。失败则该生物受到5d8点力场伤害，成功则只受一半伤害。一名生物一回合只需要进行一次该豁免。
此外，在持续时间内，你能够以附赠动作执行撤离动作。
升环施法：使用的法术位每比四环高一环，此法术的伤害就增加1d8。</t>
  </si>
  <si>
    <t>Conjure Woodland Beings</t>
  </si>
  <si>
    <t>操控水体</t>
  </si>
  <si>
    <t>300尺</t>
  </si>
  <si>
    <t>水尘混合物</t>
  </si>
  <si>
    <r>
      <rPr>
        <sz val="11"/>
        <color theme="1"/>
        <rFont val="仿宋"/>
        <family val="3"/>
        <charset val="134"/>
      </rPr>
      <t>你控制你指定的一处边长至多100尺的立方区域中的任意水体直至法术结束，从以下效应中选择其一生效。在后续的你的回合中，你能够以一个魔法动作重复同一效应，或是选择另一效应。
　　</t>
    </r>
    <r>
      <rPr>
        <sz val="11"/>
        <color theme="1"/>
        <rFont val="Arial"/>
        <family val="2"/>
      </rPr>
      <t>•</t>
    </r>
    <r>
      <rPr>
        <sz val="11"/>
        <color theme="1"/>
        <rFont val="仿宋"/>
        <family val="3"/>
        <charset val="134"/>
      </rPr>
      <t xml:space="preserve"> 上涨Flood。你使控制区域内的水位上涨20尺。如果你指定的区域是一片大水体中的一部分，则你改为制造一片20尺高的波浪，并在从区域的一边扑向另一边后崩溃。波浪中任何巨型或更小的载具都会被波浪带到区域的另一边。且所有巨型或更小的载具都有25%的几率倾覆。
直至法术结束或你选择另一个效应，水位将维持上涨。如果该效应用以产生波浪，则你维持上涨期间，波浪在你的回合开始时重新出现。
　　</t>
    </r>
    <r>
      <rPr>
        <sz val="11"/>
        <color theme="1"/>
        <rFont val="Arial"/>
        <family val="2"/>
      </rPr>
      <t>•</t>
    </r>
    <r>
      <rPr>
        <sz val="11"/>
        <color theme="1"/>
        <rFont val="仿宋"/>
        <family val="3"/>
        <charset val="134"/>
      </rPr>
      <t xml:space="preserve"> 分水Part Water。你使区域内的水体分开并形成一条水体的沟壑。沟壑从法术区域的一头延伸到另一头，而被分开的水体则在两边形成两道水墙。沟壑持续存在，直至法术结束或你选择另一个效应。该效应终止时，水流会在下一轮中逐渐将沟壑填满，直至其恢复成通常的水位。
　　</t>
    </r>
    <r>
      <rPr>
        <sz val="11"/>
        <color theme="1"/>
        <rFont val="Arial"/>
        <family val="2"/>
      </rPr>
      <t>•</t>
    </r>
    <r>
      <rPr>
        <sz val="11"/>
        <color theme="1"/>
        <rFont val="仿宋"/>
        <family val="3"/>
        <charset val="134"/>
      </rPr>
      <t xml:space="preserve"> 转向Redirect Flow。你使区域内的流水向一个你自选的方向流动，即使水流需要绕过障碍、沿着墙壁向上流、或是流向一些不太可能的方向，区域内的水体都将遵照你指使的方向流动，但一旦其流出法术区域，则会重新基于其所在地形改变流向。水体持续向你所选方向流动，直至法术结束或你选择另一个效应。
　　</t>
    </r>
    <r>
      <rPr>
        <sz val="11"/>
        <color theme="1"/>
        <rFont val="Arial"/>
        <family val="2"/>
      </rPr>
      <t>•</t>
    </r>
    <r>
      <rPr>
        <sz val="11"/>
        <color theme="1"/>
        <rFont val="仿宋"/>
        <family val="3"/>
        <charset val="134"/>
      </rPr>
      <t xml:space="preserve"> 漩涡Whirlpool。该效应需要水体至少为50尺的方形区域并且至少有25尺深。你在区域中央形成一个漩涡。漩涡持续存在，直至法术结束或你选择另一个效应。漩涡的形态为底部宽5尺，顶部至多宽50尺，高25尺。水中任何位于漩涡25尺内的生物或物件均被漩涡向自身拉动10尺。当一名生物在一个回合内第一次进入漩涡或在漩涡内结束其回合时，进行一次力量豁免。豁免失败受到2d8点钝击伤害。豁免成功则只受一半伤害。一名生物若想以游泳方式离开漩涡，则必须先执行一个动作来远离漩涡并成功通过一次对抗你法术豁免DC的力量（运动）检定。</t>
    </r>
  </si>
  <si>
    <t>Control Water</t>
  </si>
  <si>
    <t>防死结界</t>
  </si>
  <si>
    <t>你触摸一名生物，并给予其对死亡的防护。在法术结束前，当目标的生命值首次降至0时，该目标的生命值改为降至1，随后法术终止。
目标受到直接致死而不造成伤害的效应影响时，若该法术仍在生效，则改为目标受到的致死效应失效，随后法术终止。</t>
  </si>
  <si>
    <t>Death Ward</t>
  </si>
  <si>
    <t>任意门</t>
  </si>
  <si>
    <t>500尺</t>
  </si>
  <si>
    <t>你将传送至施法距离内的一处地点。你会准确到达该目的地。法术的目的地可以是你能看见的、可想象的地点，也可以是通过距离和方向说明的地点，比如“径直向下200尺”，“西北偏上45度300尺”。
你还可以带上一名自愿生物一同传送。该生物在你传送时必须距你5尺内，且其传送终点也位于你所选目的地的5尺内。
如果你、你携带的生物、或两者均将被传送至一处已被一名生物占据、或被一个或更多物件填满的空间中，则你和任何与你一起传送的生物都将受到4d6点力场伤害，且传送失败。</t>
  </si>
  <si>
    <t>Dimension Door</t>
  </si>
  <si>
    <t>预言术</t>
  </si>
  <si>
    <t>价值25+GP的熏香，作为法术耗材</t>
  </si>
  <si>
    <t>此法术让你得以与一名神祇或其仆人取得联络。你可以就某个未来7日内将要发生的特定目标、事件或活动提出一个问题。DM将给予你真实的答复，这个答复可能是一段短语或一节神秘的短诗。此法术的回答并不会顾及所有可能影响结果的情况。例如其他法术的影响。
若你在完成一次长休前施展多于一次该法术，则法术有概率不给出任何结果。此概率从第二次施展起每次累计25％。</t>
  </si>
  <si>
    <t>Divination</t>
  </si>
  <si>
    <t>支配野兽</t>
  </si>
  <si>
    <t>一名法术范围内你可见的野兽必须成功于一次感知豁免，否则在持续时间内陷入魅惑状态。若你或你的盟友正在与其战斗，则目标进行的此次豁免具有优势。目标受到伤害时，可以重复进行豁免，豁免成功则其身上的此法术终止。
该野兽被魅惑期间，只要你与其处于同一位面就可以与之保持心灵感应。在你的回合，你可以通过心灵感应命令该生物（无需动作），比如“攻击那个生物”“跑到那个位置”或是“去拿那个物品”。该生物会在其回合内尽其所能以遵守你的指令。生物完成一项指令却未收到你的进一步指示时，将会凭自身喜好行动，尽可能的保护自己。
你可以用自己的反应去要求目标执行一项反应。
升环施法： 使用更高环阶法术位施展时，你的专注能持续更长时间，五环至多10分钟，六环至多1小时，七环及以上至多8小时。</t>
  </si>
  <si>
    <t>Dominate Beast</t>
  </si>
  <si>
    <t>艾伐黑触手</t>
  </si>
  <si>
    <t>一根触手</t>
  </si>
  <si>
    <t>蠕动的乌黑触须填满了一处施法距离内你可见的20尺方状地面。在法术持续时间内，这些触手会将此区域地面变为困难地形。
每名区域内的生物进行一次力量豁免。豁免失败受到3d6点钝击伤害，并且直到法术结束为止陷入束缚状态。一名进入此区域或在区域内结束回合的生物也要进行此豁免。一名生物一回合只进行一次此豁免。
一名被束缚的生物可以用一个动作进行一次力量（运动）检定对抗你的法术豁免DC，若检定成功则结束其身上的束缚状态。</t>
  </si>
  <si>
    <t>Evard's Black Tentacles</t>
  </si>
  <si>
    <t>鬼斧神工</t>
  </si>
  <si>
    <t>你将一种原材料转化成该材料制作的成品。例如，你可以将一丛树木转化为一座木桥，一把麻草化为绳子，或是将亚麻和羊毛化作衣物。
指定施法距离内你能看见的原材料。只要有足够的材料，你就可以将他们转化为一件体型不超过大型的物件（至多占据10尺立方区域或八个相邻的5尺立方区域）。如果你的目标材料是金属、石料或者其他矿石材料，那么被制造的物件不能大于中型（至多占据 5 尺立方区域），制成品的质量和原材料质量相同。
该法术不能创造生物或魔法物品。你只有对制作某物品的工匠工具拥有熟练项时，才能使用此法术去制作相应需要高工艺水平制作的物品，如武器、护甲等。</t>
  </si>
  <si>
    <t>Fabricate</t>
  </si>
  <si>
    <t>火焰护盾</t>
  </si>
  <si>
    <t>一小块磷或一只萤火虫</t>
  </si>
  <si>
    <t>轻薄缥缈的火焰在法术持续期间环绕着你的身体，散发出10尺半径的明亮光照和额外10尺的微光光照。
这层火焰可以为你提供一面温暖护盾或冻寒护盾，由你选择。温暖护盾将赋予你对冷冻伤害的抗性，而冻寒护盾则会赋予你对火焰伤害的抗性。
此外，每当一名距你5尺内的生物以一次近战攻击命中你时，这个护盾将迸发出火焰。温暖护盾将对攻击者造成2d8点火焰伤害，冻寒护盾将对攻击者造成2d8点冷冻伤害。</t>
  </si>
  <si>
    <t>Fire Shield</t>
  </si>
  <si>
    <t>月光涌泉</t>
  </si>
  <si>
    <t>一道冷冽光芒在法术持续时间内缭绕你身，散发出20尺半径的明亮光照和额外20尺的微光光照。
直到法术结束，你具有光耀伤害的抗性，并且你的近战攻击在命中时额外造成2d6点光耀伤害。
此外，在你受到距你60尺内一名你可见的生物的伤害后，你可以立即用一个反应，强迫其进行一次体质豁免。豁免失败者直到你的下个回合结束为止陷入目盲状态。</t>
  </si>
  <si>
    <t>Fount of Moonlight</t>
  </si>
  <si>
    <t>行动自如</t>
  </si>
  <si>
    <t>一条皮带</t>
  </si>
  <si>
    <t>你触碰一个自愿生物，并使目标在法术持续时间内移动时不受困难地形限制，并且任何法术或其他魔法效应都不能降低目标的速度，或者使目标陷入麻痹或束缚状态。目标还会获得等同于其速度的游泳速度。
此外，该目标还可以花费5尺移动力直接从非魔法的束缚物中挣脱（诸如镣铐或其他生物对其施加的受擒状态）。
升环施法：使用的法术位每比四环高一环，你就可以额外再指定一名生物作为此法术的目标。</t>
  </si>
  <si>
    <t>Freedom of Movement</t>
  </si>
  <si>
    <t>巨虫术</t>
  </si>
  <si>
    <t>你召唤一只巨化的蜈蚣、蜘蛛或黄蜂（你施法时选择）。其使用下文巨虫Giant Insect的数据，并会在施法距离内一处你可见的未被占据的空间中显现。你选择的形态决定了其数据中的部分细节。该生物会在生命值降为0或是法术结束时消失。
该生物是你和你盟友的盟友。它在战斗中使用你的先攻，并在你回合结束后立即执行其回合。它遵从于你的口头指令（无需任何动作）。如果你不发令，它将执行回避动作并使用其移动力以远离危险。
升环施法：在生物数据中使用更高的法术环阶。
巨虫Giant Insect
大型野兽，无阵营
AC 11+法术环阶
HP 30+每比四环高一环阶10点
速度 40尺，攀爬40尺，飞行40尺（仅限黄蜂）
力量17|+3|+3 敏捷13|+1|+1 体质15|+2|+2
智力4|-3|-3 感知14|+2|+2 魅力3|-4|-4
感官：黑暗视觉60尺，被动察觉12
语言：理解你所知晓的语言
CR 无（XP0；PB等同于你的熟练加值）
特质Traits
蛛行Spider Climb。 巨虫能够在困难表面上攀爬，包括在天花板上攀爬，而不需要进行属性检定。
动作Actions
多重攻击Multiattack。巨虫发动等同于法术环数一半次数的攻击（向下取整）。
猛毒刺Poison Jab。近战攻击检定：加值等同于你的法术攻击调整值，触及10尺。命中：1d6+3+法术环阶点穿刺伤害+1d4点毒素伤害。
蛛网箭Web Bolt（仅限蜘蛛）。远程攻击检定：加值等同于你的法术攻击调整值，射程60尺。命中：1d10+3+法术环阶点钝击伤害，且目标的速度降为0直至巨虫的下个回合开始。
附赠动作Bonus Actions
剧毒喷涌Venomous Spew（仅限蜈蚣）。体质豁免：DC等同于你的法术豁免DC，一名距巨虫10尺内且巨虫可见的生物。失败：目标陷入中毒状态直至巨虫的下个回合开始。</t>
  </si>
  <si>
    <t>Giant Insect</t>
  </si>
  <si>
    <t>擒抱藤</t>
  </si>
  <si>
    <t>你指定施法距离内一个你能够看见的未被占据的空间，并召唤一条藤蔓使其从该空间的地面上破土而出。藤蔓直到法术结束为止会一直存在。
对一名距藤蔓30尺内的生物进行一次近战法术攻击。命中时，目标受到4d8点钝击伤害并被往藤蔓所在方向拉近30尺。如果目标体型不超过巨型，则目标同时陷入受擒状态（逃脱DC等同于你的法术豁免DC）。藤蔓在同一时间只能擒抱一名生物，但你随时可以让藤蔓放开一名受擒的生物（无需动作）。
直至该法术终止前，你可以在你随后的回合里用一个附赠动作再次对一名距其30尺内的生物进行这样的攻击。
升环施法：使用的法术位每比四环高一环，藤蔓便可额外擒抱一名生物。</t>
  </si>
  <si>
    <t>Grasping Vine</t>
  </si>
  <si>
    <t>高等隐形术</t>
  </si>
  <si>
    <t>触碰一名生物，该生物直到法术结束之前具有隐形状态。</t>
  </si>
  <si>
    <t>Greater Invisibility</t>
  </si>
  <si>
    <t>信仰守卫</t>
  </si>
  <si>
    <t>一名大型灵体守护者出现在施法距离内一处由你指定的，你可见且未被占据的空间，并在法术持续时间内在该处悬浮。占据该空间的守护者是无敌的，并且会以适合你神祇或神系的形态出现。
任何敌人在一回合内首次进入距守护者10尺内或于其10尺内开始其回合时，必须进行一次敏捷豁免。豁免失败受到20点光耀伤害，豁免成功则伤害减半。守护者在造成总计60点伤害后随即消失。</t>
  </si>
  <si>
    <t>Guardian of Faith</t>
  </si>
  <si>
    <t>幻景</t>
  </si>
  <si>
    <t>一颗蘑菇</t>
  </si>
  <si>
    <t>你使施法距离内一处150尺立方区域内的自然地形在视觉、听觉、嗅觉上都像是另一种自然地形。因此，开阔的平原或者道路可能会变得像是一片沼泽，或是丘陵、裂谷以及其他难以通过，甚至是无法通过的地形。一个池塘可能变得看起来像一片草地，一个悬崖像是一个缓坡，或者使一条乱石沟像是一条宽阔平坦的道路。区域内经过加工的建筑、装备或生物的外表不会改变。
地形的触觉特征不会改变，所以进入这片区域的生物可能会看穿幻象。如果触觉区别不明显，一个仔细调查幻象的生物可以采取研究动作，尝试进行一次对抗法术豁免 DC 的智力（调查）检定以识破之。对于一个识破了幻象本体的生物，幻象看起来就像是一层模糊的图像叠加在真实地形上。</t>
  </si>
  <si>
    <t>Hallucinatory Terrain</t>
  </si>
  <si>
    <t>冰风暴</t>
  </si>
  <si>
    <t>一只连指手套</t>
  </si>
  <si>
    <t>以施法距离内一点为中心的一处半径20尺，高40尺的柱状区域内，岩石般坚硬的冰雹重重地砸向地面。每个处在范围内的生物都必须进行一次敏捷豁免，豁免失败者将受到2d10点钝击伤害和 4d6 点冷冻伤害，豁免成功则受到一半伤害。
冰雹使柱状区域内的地面变为困难地形，直至你的下一回合结束。
升环施法： 使用的法术位每比四环高一环，此法术的钝击伤害就增加1d10。</t>
  </si>
  <si>
    <t>Ice Storm</t>
  </si>
  <si>
    <t>李欧蒙秘藏箱</t>
  </si>
  <si>
    <t>一个3尺×2尺×2尺、由稀有材料制成的、价值5000GP+的箱子；以及由同样材料制成的一个箱子的微缩模型（价值50GP+）</t>
  </si>
  <si>
    <t>直至解除</t>
  </si>
  <si>
    <t>你将一个箱子及其内容物藏在以太位面。你必须同时接触箱子和作为法术材料成分的微缩模型。箱子最多可容纳12立方尺的非活体物质（3×2×2 尺）。
箱子处于以太位面时，你可以用一个魔法动作并触碰箱子的模型来召回箱子。箱子出现在你 5 尺内一个未被占据空间的地面。随后，你可以使用一个魔法动作并同时触碰箱子与微缩模型来把箱子送回以太位面。
60日之后，法术的效应会每日累计5%的概率自动结束。如果你再次施展该法术或箱子的模型被摧毁，该法术的效应也将随之终止。如果法术终止时箱子处于以太界，则其留在那里等待被你或者其他人找到。</t>
  </si>
  <si>
    <t>Leomund's Secret Chest</t>
  </si>
  <si>
    <t>生物定位术</t>
  </si>
  <si>
    <t>你点名或描述一个你熟悉的生物。只要该生物与你相距不超过1000尺，你就会感测到该生物的方位。如果该生物正在移动，则你也将知晓其移动的方向。
该法术可以定位一个你认识的特定生物；或者它也可以定位特定的一类生物（例如人类或独角兽）中距你最近的个体，不过你需要曾经在 30 尺的近距离内看到过该类生物至少一次。如果被点名或描述的生物并不处于其原本的形态（例如正被一个变形术Polymorph或石化术Flesh to Stone的法术效应影响），则该法术无法定位该生物。
如果有任意厚度的铅，即使只是薄薄一片铅片阻挡了你与被定位物件间的通路，则该生物也无法被该法术所定位。</t>
  </si>
  <si>
    <t>Locate Creature</t>
  </si>
  <si>
    <t>魔邓肯忠犬</t>
  </si>
  <si>
    <t>一支银哨</t>
  </si>
  <si>
    <t>指定施法距离内一处你能看见且未被占据的空间，你在该处创造出一只幻影守护犬。守护犬持续存在至法术结束或你们之间的距离超过300 尺。
只有你能看见守护犬，它无法被触及且不会受伤。当一个体型不小于小型的生物进入守护犬 30 尺内时，如果该生物无法说出你在施法时设定的口令，守护犬则会开始大声吠叫。守护犬拥有30尺真实视觉。
在你的每回合开始时，守护犬会尝试啮咬其5尺范围内的一个敌人。该生物进行一次敏捷豁免，失败则受到4d8点力场伤害。
在你施展法术的后续回合里，你能够以一个魔法动作令守护犬移动至多30尺。</t>
  </si>
  <si>
    <t>Mordenkainen's Faithful Hound</t>
  </si>
  <si>
    <t>魔邓肯私人密室</t>
  </si>
  <si>
    <t>一片薄铅</t>
  </si>
  <si>
    <r>
      <rPr>
        <sz val="11"/>
        <color theme="1"/>
        <rFont val="仿宋"/>
        <family val="3"/>
        <charset val="134"/>
      </rPr>
      <t>你对施法距离内一片区域施以魔法防护。该区域为一立方区域，其边长至小5尺，大至 100 尺。该法术持续至持续时间结束。
施展该法术时，其提供的防护效应由你决定。从下列词条中选择一种或多种生效：
　　</t>
    </r>
    <r>
      <rPr>
        <sz val="11"/>
        <color theme="1"/>
        <rFont val="Arial"/>
        <family val="2"/>
      </rPr>
      <t>•</t>
    </r>
    <r>
      <rPr>
        <sz val="11"/>
        <color theme="1"/>
        <rFont val="仿宋"/>
        <family val="3"/>
        <charset val="134"/>
      </rPr>
      <t xml:space="preserve"> 声音不能穿透被保护区域边缘的障壁
　　</t>
    </r>
    <r>
      <rPr>
        <sz val="11"/>
        <color theme="1"/>
        <rFont val="Arial"/>
        <family val="2"/>
      </rPr>
      <t>•</t>
    </r>
    <r>
      <rPr>
        <sz val="11"/>
        <color theme="1"/>
        <rFont val="仿宋"/>
        <family val="3"/>
        <charset val="134"/>
      </rPr>
      <t xml:space="preserve"> 被保护区域的障壁变得黑暗而模糊，无法通过视觉（包括黑暗视觉）看穿。
　　</t>
    </r>
    <r>
      <rPr>
        <sz val="11"/>
        <color theme="1"/>
        <rFont val="Arial"/>
        <family val="2"/>
      </rPr>
      <t>•</t>
    </r>
    <r>
      <rPr>
        <sz val="11"/>
        <color theme="1"/>
        <rFont val="仿宋"/>
        <family val="3"/>
        <charset val="134"/>
      </rPr>
      <t xml:space="preserve"> 预言法术创造的传感器无法出现在被保护区域内，也无法穿过区域边界处的障壁。
　　</t>
    </r>
    <r>
      <rPr>
        <sz val="11"/>
        <color theme="1"/>
        <rFont val="Arial"/>
        <family val="2"/>
      </rPr>
      <t>•</t>
    </r>
    <r>
      <rPr>
        <sz val="11"/>
        <color theme="1"/>
        <rFont val="仿宋"/>
        <family val="3"/>
        <charset val="134"/>
      </rPr>
      <t xml:space="preserve"> 区域内的生物不能成为预言法术的目标。
　　</t>
    </r>
    <r>
      <rPr>
        <sz val="11"/>
        <color theme="1"/>
        <rFont val="Arial"/>
        <family val="2"/>
      </rPr>
      <t>•</t>
    </r>
    <r>
      <rPr>
        <sz val="11"/>
        <color theme="1"/>
        <rFont val="仿宋"/>
        <family val="3"/>
        <charset val="134"/>
      </rPr>
      <t xml:space="preserve"> 任何事物无法通过传送进出被保护区域。
　　</t>
    </r>
    <r>
      <rPr>
        <sz val="11"/>
        <color theme="1"/>
        <rFont val="Arial"/>
        <family val="2"/>
      </rPr>
      <t>•</t>
    </r>
    <r>
      <rPr>
        <sz val="11"/>
        <color theme="1"/>
        <rFont val="仿宋"/>
        <family val="3"/>
        <charset val="134"/>
      </rPr>
      <t xml:space="preserve"> 在被保护区域内，位面旅行被封锁。
当你每日在同一个位置施展此法术，持续365日后，法术将成为永久效应（直到被解除）。
升环施法：使用的法术位每比四环高一环，此法术立方区域的边长就可以增加100尺。</t>
    </r>
  </si>
  <si>
    <t>Mordenkainen's Private Sanctum</t>
  </si>
  <si>
    <t>欧提路克弹力法球</t>
  </si>
  <si>
    <t>一颗玻璃球</t>
  </si>
  <si>
    <t>一颗微微发光的法球将施法距离内一个大型或更小的生物或物件封在其中。非自愿的生物必须成功通过一次敏捷豁免，否则在法术持续时间内被封在球体中。
任何事物，包括实体物件、能量或其它法术效应，都不能穿透障壁进出其内，不过生物在球内仍可以正常呼吸。球体免疫一切伤害，且球内的生物或物件不能被来自球外的攻击或效应所伤害，球内的生物也不能对球外的任何事物造成伤害。
该球体没有重量，而其尺寸恰好可以容纳球内的生物或物件。被封住的生物可以使用一个动作推动球壁并以至多该生物速度一半的速度滚动球体。另外，球体也可以被其他生物拿起或移动。
以球体为目标施展一道解离术Disintegrate可以摧毁球体而不伤害球内的任何事物。</t>
  </si>
  <si>
    <t>Otiluke's Resilient Sphere</t>
  </si>
  <si>
    <t>魅影杀手</t>
  </si>
  <si>
    <t>你指定施法距离内一名你可见的生物，窥探其噩梦，依此创造一道只有目标能看见的幻象。目标生物进行一次感知豁免。豁免失败时，目标受到4d10点心灵伤害，且在法术持续时间内进行的所有属性检定与攻击检定都具有劣势。豁免成功，则目标只受一半伤害，法术终止。
法术持续时间内，目标在其每回合结束时进行一次感知豁免，豁免失败将再次受到心灵伤害。豁免成功则法术终止。
升环施法：使用的法术位每比四环高一环，此法术的伤害就增加1d10。</t>
  </si>
  <si>
    <t>Phantasmal Killer</t>
  </si>
  <si>
    <t>变形术</t>
  </si>
  <si>
    <t>一枚毛毛虫茧</t>
  </si>
  <si>
    <t>你尝试将施法距离内你可见的一名生物转变为一只野兽。目标必须成功于一次感知豁免，否则在持续时间内被变形为野兽形态。这种野兽形态可以是你所选的挑战等级不大于目标（若目标没有挑战等级，则使用目标的等级）的任意野兽。目标的游戏数据被替换为所选野兽的数据，但目标保留其阵营、性格、生物类型、生命值、生命值骰。野兽的具体数据见附录B。
目标获得等同于其野兽形态生命值的临时生命值。若目标没有剩余的临时生命值，则法术提前终止。
该生物只可做出其新形态的生理结构所允许的动作。它不能说话也不能施法。
目标的装备融入新形态中。目标不能使用装备或者通过其他方式从装备中获得增益。</t>
  </si>
  <si>
    <t>Polymorph</t>
  </si>
  <si>
    <t>惊惧斩</t>
  </si>
  <si>
    <t>被该次攻击检定命中的目标会在此次攻击中额外受到4d6点心灵伤害。该目标必须进行一次感知豁免，豁免失败则目标陷入震慑状态直到你的下个回合结束。
升环施法：使用高于四环的法术位施放本法术时，你使用的法术位每比四环高一环，额外伤害就增加1d6。</t>
  </si>
  <si>
    <t>Staggering Smite</t>
  </si>
  <si>
    <t>塑石术</t>
  </si>
  <si>
    <t>软粘土</t>
  </si>
  <si>
    <t>你触碰一个体积为中型或更小的石质物件或某块岩石在任何方向都不超过 5 尺的一部分，并将其塑造成你想要的任意形状。例如你可以将一块大石头塑造成一件武器、一尊塑像、或一个保险箱，也可以在石墙上开出一条小通道，前提是墙的厚度不能超过 5 尺。你也可以使一扇石门或石质门框变形来将门封死。你创造的物件最多可以有两条铰链和一道闩，除此之外不能以该法术塑造出更复杂的机械结构。</t>
  </si>
  <si>
    <t>Stone Shape</t>
  </si>
  <si>
    <t>石肤术</t>
  </si>
  <si>
    <t>价值100GP+的钻石粉末，作为法术耗材</t>
  </si>
  <si>
    <t>在法术结束前，你触碰的一个自愿生物获得对钝击、穿刺、挥砍伤害的抗性。</t>
  </si>
  <si>
    <t>Stoneskin</t>
  </si>
  <si>
    <t>异怪召唤术</t>
  </si>
  <si>
    <t>一条腌制触手和一颗装在白金瓶中的眼球、价值400GP+</t>
  </si>
  <si>
    <t>你唤来一个异怪灵魄。其使用下文异怪灵魄的数据，并会在施法距离内一处你可见的未被占据的空间中显现。当你施展法术时，从类眼魔，夺心魔和史拉蟾中选择一个类别。该生物会显化为你所选的那一类异怪，其数据中的部分特性也受此影响。该生物会在生命值降为0或是法术结束时消失。
该生物是你的盟友（对你的其它盟友亦是如此）。它在战斗中使用你的先攻，并在你回合结束后立即行动。它遵从于你的口头指令（无需任何动作）。如果你不发令，它将执行回避动作并远离危险。
升环施法：该生物的数据使用新的法术环阶。
异怪灵魄Aberrant Spirit
中型异怪，绝对中立
AC 11+法术环阶
HP 40+每比4环高的法术环阶10点
速度30 尺；飞行30尺（悬浮；仅类眼魔）
力量16|+3|+3 敏捷10|+0|+0 体质15|+2|+2
智力16|+3|+3 感知10|+0|+0 魅力6|-2|-2
免疫：心灵
感官：黑暗视觉60尺，被动察觉10
语言：深潜语，理解你的语言
CR无（XP0；PB等于你的熟练加值）
特质Traits
再生Regeneration（仅史拉蟾）。灵魄在其回合开始时恢复5点生命值，前提是它至少有1点生命值。
低语灵光Whispering Aura（仅夺心魔）。只要灵魄并未失能，它就会在自己的每个回合开始时释放出灵能能量。感知豁免：DC等于你的法术豁免DC，灵魄5尺内的每个生物（除你之外）。失败：2d6心灵伤害
动作Actions
多重攻击Multiattack。灵魄发动等于法术环阶一半次数的攻击（向下取整）。
爪击Claw（仅史拉蟾）。近战攻击检定：加值等于你的法术攻击加值，触及5尺。命中：1d10+3+法术环阶的挥砍伤害，目标无法恢复生命值直至灵魄的下一回合开始。
眼波射线Eye Ray（仅类眼魔）。远程攻击检定：加值等于你的法术攻击加值，射程150尺。命中：1d8+3+法术环阶的心灵伤害。
灵能猛击Psychic Slam（仅夺心魔）。近战攻击检定：加值等于你的法术攻击加值，触及5尺。命中：1d8+3+法术环阶的心灵伤害。</t>
  </si>
  <si>
    <t>Summon Aberration</t>
  </si>
  <si>
    <t>构装召唤术</t>
  </si>
  <si>
    <t>一个金属密码箱、价值400GP+</t>
  </si>
  <si>
    <t>你唤来一个构装灵魄。其使用下文构装灵魄的数据，并会在施法距离内一处你可见的未被占据的空间中显现。当你施展法术时，从粘土、金属、岩石中选择一种材料，该生物会显现为以该种材料制成的活化雕像（由你决定其外观），其数据中的部分特性也受此影响。该生物会在生命值降为0或是法术结束时消失。
该生物是你的盟友（对你的其它盟友亦是如此）。它在战斗中使用你的先攻，并在你回合结束后立即行动。它遵从于你的口头指令（无需任何动作）。如果你不发令，它将执行回避动作并远离危险。
升环施法：该生物的数据使用新的法术环阶。
构装灵魄Construct Spirit 
中型构装，绝对中立
AC 13+法术环阶
HP 40+每比4环高的法术环阶15点
速度30尺
力量18|+4|+4 敏捷10|+0|+0 体质18|+4|+4
智力14|+2|+2 感知11|+0|+0 魅力5|-3|-3
抗性：毒素
免疫：魅惑，力竭，恐慌，麻痹，中毒
感官：黑暗视觉60尺，被动察觉10
语言：理解你的语言
CR无（XP0；PB等于你的熟练加值）
特质Traits
灼热之躯Heated Body（仅金属）。当一个生物对灵魄发动近战攻击并命中，或是在擒抱灵魄、被灵魄擒抱期间开始其回合时，那个生物受到1d10火焰伤害。
石迷昏眠Stony Lethargy（仅岩石）。当一个灵魄可见的生物在其10 尺距离内开始回合时，它可以对其释放出一道魔法能量。感知豁免：DC等于你的法术豁免DC，被指定的生物。失败：目标不能进行借机攻击且速度减半，持续直至其下一回合开始。
动作Actions
多重攻击Multiattack。灵魄发动等于法术环阶一半次数的猛击攻击（向下取整）。
猛击Slam。近战攻击检定：加值等于你的法术攻击加值，触及5尺。命中：1d8+4+法术环阶的钝击伤害。
反应Reactions
狂怒乱击Berserk Lashing（仅粘土）。触发：一个生物对灵魄造成了伤害。响应：灵魄对该目标发动一次猛击攻击（若可能），或者灵魄向那个目标移动至多等于其速度一半的距离且不引发借机攻击。</t>
  </si>
  <si>
    <t>Summon Construct</t>
  </si>
  <si>
    <t>元素召唤术</t>
  </si>
  <si>
    <t>一个价值400GP+的、装有空气、一块鹅卵石、灰烬与水的镶金瓶</t>
  </si>
  <si>
    <t>你唤来一个元素灵魄。其使用下文元素灵魄的数据，并会在施法距离内一处你可见的未被占据的空间中显现。当你施展法术时，从气、土、火、水中选择一种元素，该生物会显现为由你所选元素组成的二足模糊人影，其数据中的部分特性也受此影响。该生物会在生命值降为0或是法术结束时消失。
该生物是你的盟友（对你的其它盟友亦是如此）。它在战斗中使用你的先攻，并在你回合结束后立即行动。它遵从于你的口头指令（无需任何动作）。如果你不发令，它将执行回避动作并远离危险。
升环施法：该生物的数据使用新的法术环阶。
元素灵魄Elemental Spirit 
中型元素，绝对中立
AC 11+法术环阶
HP 50+每比4环高的法术环阶10点
速度40尺；掘穴40尺（仅土）；飞行40尺（悬浮；仅气）；游泳40尺（仅水）
力量18|+4|+4 敏捷15|+2|+2 体质17|+3|+3
智力4|-3|-3 感知10|+0|+0 魅16|+3|+3
抗性：强酸（仅水），闪电和雷鸣（仅气），穿刺和挥砍（仅地）
免疫：火焰（仅火），毒素；力竭，麻痹，石化，中毒
感官：黑暗视觉60尺，被动察觉10
语言：原初语，理解你的语言
CR无（XP0；PB等于你的熟练加值）
特质Traits
不定形态Amorphous Form（仅气、火、水）。灵魄能够轻松穿过最窄1寸宽的狭窄空间，如同其是困难地形一般。
动作Actions
多重攻击Multiattack。灵魄发动等于法术环阶一半次数的猛击攻击（向下取整）。
猛击Slam。近战攻击检定：加值等于你的法术攻击加值，触及5尺。命中：1d10+4+法术环阶的钝击（仅土）、冷冻（仅水）、闪电（仅气）、火焰（仅火）伤害。</t>
  </si>
  <si>
    <t>Summon Elemental</t>
  </si>
  <si>
    <t>浓酸球</t>
  </si>
  <si>
    <t>一滴胆汁</t>
  </si>
  <si>
    <t>你指向施法距离内一点，一颗发光的直径1尺的酸液球飞向那个位置，随后爆炸，波及20尺半径球状区域。在该区域中的每名生物进行一次敏捷豁免。豁免失败的生物不仅将受到10d4点强酸伤害，其下个回合结束时还将再受到5d4点强酸伤害。若豁免成功，该生物只受到初始伤害的一半伤害。
升环施法：使用的法术位每比四环高一环，此法术的初始伤害便增加2d4。</t>
  </si>
  <si>
    <t>Vitriolic Sphere</t>
  </si>
  <si>
    <t>火墙术</t>
  </si>
  <si>
    <t>一块木炭</t>
  </si>
  <si>
    <t>你在施法距离内一块固体表面上创造出一面火墙。你可以选择创造长不过 60 尺、高不过 20 尺、厚不过 1 尺的直线型火墙；或是直径不过 20 尺、高不过 20 尺、厚不过 1 尺的环形火墙。火墙不透明，且将持续存在至法术终止。
火墙出现时，所有位于火墙所占据的区域内的生物必须进行一次敏捷豁免。豁免失败，受到 5d8 点火焰伤害。豁免成功，则只受一半伤害。
施展该法术时，你选择火墙的哪一侧会造成伤害。生物在火墙造成伤害一侧10尺内或火墙所占据的区域内结束其回合时将受到5d8点火焰伤害。在一个回合内首次进入火墙或在火墙所占据的区域内结束自己的回合时也会受到同样的伤害。火墙的另一侧不会造成伤害。
升环施法：使用的法术位每比四环高一环，此法术造成的伤害就提高1d8。</t>
  </si>
  <si>
    <t>Wall of Fire</t>
  </si>
  <si>
    <t>活化物件</t>
  </si>
  <si>
    <t>物件在你的命令下“活”了过来。在施法距离内指定一定数量的未被携带或着装、也未被固定在一处表面的非超巨型非魔法物件作为法术目标。可活化物件的最大数量等于你的施法属性调整值，中型或小型目标计为一个物件，大型目标计为两个物件，巨型目标计为三个物件。
被指定的目标会活化并长出腿来，变成一名构装，并使用活化物件的数据。该生物受到你的控制，直到法术结束或其生命值降低为0。你以该法术活化的每名生物都是你的盟友（对你的其它盟友亦是如此）。它在战斗中使用你的先攻，并在你的回合结束后立即进行其回合。
直至法术结束前，你都可以使用一个附赠动作并以精神命令操纵距离你500 尺内任何你用此法术唤起的生物（如果你操纵多个生物，则你的命令可以同时传达给它们全部或是其中的某几个，不过只能使用同一种命令）。如果你不发令，它将执行回避动作且只会为躲避危险而移动。当活化物件的生命值降低为0时，它将会变回其物件形态，并且该物件将承受由活化物件形态延续而来的所有剩余伤害。
升环施法：使用五环或更高法术位施展该法术时，你使用的法术位每比五环高一环，活化物件生物的猛击Slam造成的伤害提升1d4（中型或更小）、1d6（大型）、1d12（巨型）。
活化物件Animated Object 
巨型（或更小）的构装，无阵营
AC 15
HP 10（中型及更小）、20（大型）、40（巨型）
速度30尺
力量16|+3|+3 敏捷10|+0|+0 体质10|+0|+0
智力3|-4|-4 感知3|-4|-4 魅力1|-5|-5
免疫：毒素、心灵；魅惑、力竭、恐慌、麻痹、中毒
感官：盲视30尺，被动察觉6
语言：理解你会的语言
CR无（XP0；PB等于你的熟练加值）
动作Actions
猛击Slam。近战攻击检定：加值等于你的法术攻击调整值，触及5尺。命中：1d4+3（中型）、2d6+3+你的施法调整值（大型）或2d12+3+你的施法调整值（巨型）的力场伤害。</t>
  </si>
  <si>
    <t>Animate Objects</t>
  </si>
  <si>
    <t>防活物护罩</t>
  </si>
  <si>
    <t>一道灵光从你身上延伸而出并在持续时间内形成10尺光环。这道灵光会阻绝外面除亡灵生物和构装生物之外所有类型的生物，使它们无法穿过或触及内部。一名受影响的生物施展的法术、使用远程武器或触及武器发动的攻击可以穿过屏障。
若你移动迫使受影响生物进入护罩内，则法术随之终止。</t>
  </si>
  <si>
    <t>Antilife Shell</t>
  </si>
  <si>
    <t>启蒙术</t>
  </si>
  <si>
    <t>一块价值1000GP+的玛瑙，作为法术耗材</t>
  </si>
  <si>
    <t>你利用施法的时间引导一块昂贵宝石中的魔法回路，然后触碰目标。该目标必须是一个野兽或植物，且必须是一个智力小于等于3的生物或是一个并非生物的自然植物。
目标的智力会变为 10，且学会说一门你所掌握的语言。如果目标是一株自然植物，则它变为一个植物生物，并且获得使用枝、根、藤、蔓或类似部位移动的能力，和类似于人类的感官。DM 为启蒙植物决定属性数据，例子可参考《怪物图鉴》中的启蒙灌木Awakened Shrub与启蒙树木Awakened Tree 。
被启蒙的目标在 30 日内处于魅惑 状态，或是直到你或你的盟友做出任何伤害它的举动。魅惑终止后，启蒙生物自行决定对你的态度。</t>
  </si>
  <si>
    <t>Awaken</t>
  </si>
  <si>
    <t>放逐斩</t>
  </si>
  <si>
    <t>被该次攻击检定命中的目标会在此次攻击中额外受到5d10力场伤害。如果此次攻击将目标的生命值削减到50点或更低，则目标必须进行一次魅力豁免，豁免失败则会在法术持续期间被转移到一个无害的半位面。身处半位面期间，目标会陷入失能状态。当法术终止时，目标将重新出现在其被放逐前的位置。如果该位置被占据，则目标将出现在距离该位置最近的一个未被占据空间。</t>
  </si>
  <si>
    <t>Banishing Smite</t>
  </si>
  <si>
    <t>毕格比之手</t>
  </si>
  <si>
    <t>一个蛋壳和一只分指手套</t>
  </si>
  <si>
    <r>
      <rPr>
        <sz val="11"/>
        <color theme="1"/>
        <rFont val="仿宋"/>
        <family val="3"/>
        <charset val="134"/>
      </rPr>
      <t>你在施法距离内指定一处你能看见且未被占据的空间，并在该处创造出一只闪烁着魔法性微光的大型手掌。这只手会在持续时间内维持存在，并听从你的命令进行移动，模仿你自己手掌的各类动作。
这只手是一个物件，其AC为20，生命值等于你的生命值上限。如果它的生命值降至0则法术将提前终止。这只手不会占据其所处的空间。
施展此法术时，你可以令巨手移动至多60尺并造成下列效应之一。你也可以在自己随后的回合里以一个附赠动作再造成下列效应之一：
　　</t>
    </r>
    <r>
      <rPr>
        <sz val="11"/>
        <color theme="1"/>
        <rFont val="Arial"/>
        <family val="2"/>
      </rPr>
      <t>•</t>
    </r>
    <r>
      <rPr>
        <sz val="11"/>
        <color theme="1"/>
        <rFont val="仿宋"/>
        <family val="3"/>
        <charset val="134"/>
      </rPr>
      <t xml:space="preserve"> 金刚拳Clenched Fist。这只手对自身周围5尺范围内的一名目标发动一次打击。进行一次近战法术攻击。若命中，则该目标受到5d8力场伤害。
　　</t>
    </r>
    <r>
      <rPr>
        <sz val="11"/>
        <color theme="1"/>
        <rFont val="Arial"/>
        <family val="2"/>
      </rPr>
      <t>•</t>
    </r>
    <r>
      <rPr>
        <sz val="11"/>
        <color theme="1"/>
        <rFont val="仿宋"/>
        <family val="3"/>
        <charset val="134"/>
      </rPr>
      <t xml:space="preserve"> 飞击掌Forceful Hand。这只手尝试推撞自身周围5尺范围内的一个体型不超过巨型的生物。目标必须进行一次力量豁免，若失败，这只手会将目标推动至多等于5+你施法属性调整值的五倍的尺数。巨手将随着目标一起移动，保持自己处在目标周围5尺的范围内。
　　</t>
    </r>
    <r>
      <rPr>
        <sz val="11"/>
        <color theme="1"/>
        <rFont val="Arial"/>
        <family val="2"/>
      </rPr>
      <t>•</t>
    </r>
    <r>
      <rPr>
        <sz val="11"/>
        <color theme="1"/>
        <rFont val="仿宋"/>
        <family val="3"/>
        <charset val="134"/>
      </rPr>
      <t xml:space="preserve"> 擒拿掌Grasping Hand。这只手尝试对自身周围5尺范围内的一个体型不超过巨型的生物进行擒抱。目标必须进行一次敏捷豁免，若失败，则目标陷入受擒状态，逃脱DC等于你的法术豁免DC。在这只手擒抱目标期间，你可以使用一个附赠动作命令这只手对其进行挤压，此时目标将受到4d6+你的施法属性调整值点钝击伤害。
　　</t>
    </r>
    <r>
      <rPr>
        <sz val="11"/>
        <color theme="1"/>
        <rFont val="Arial"/>
        <family val="2"/>
      </rPr>
      <t>•</t>
    </r>
    <r>
      <rPr>
        <sz val="11"/>
        <color theme="1"/>
        <rFont val="仿宋"/>
        <family val="3"/>
        <charset val="134"/>
      </rPr>
      <t xml:space="preserve"> 护身掌Interposing Hand。这只手会在你对抗以其所处空间为源点发出攻击或其他效应时，以及需要穿过其所处空间的攻击以及其他效应时给予你半身掩护Half Cover。此外，这只手所处空间对你的敌人来说视作困难地形。
升环施法：使用的法术位每比五环高一环，金刚拳的伤害就会提高2d8点，擒拿掌的伤害就会提高2d6点。</t>
    </r>
  </si>
  <si>
    <t>Bigby's Hand</t>
  </si>
  <si>
    <t>原力法阵</t>
  </si>
  <si>
    <t>你在30尺光环区域内散发灵光。位于灵光范围期间，你和你的盟友为对抗法术或其他魔法效应而进行的豁免检定具有优势。当受该法术效应影响的生物对抗豁免成功受半数伤害的法术或魔法效应时，若其豁免成功则不受伤害。</t>
  </si>
  <si>
    <t>Circle of Power</t>
  </si>
  <si>
    <t>死云术</t>
  </si>
  <si>
    <t>你指定施法距离内一点，在以该点为中心、半径 20 尺球状区域内，创造一片黄绿色剧毒浓雾。雾气在法术持续时间内维持存在，但仍会被强风吹散（比如造风术Gust of Wind）并解除法术。雾气存在区域视为重度遮蔽。
每名位于球状区域内的生物都进行一次体质豁免，豁免失败者受到5d8点毒素伤害，豁免成功则受到一半伤害。每当球状区域移动到一名生物区域内时、一名生物进入球状区域时或是在该区域结束其回合时，该生物同样需要进行一次豁免。一名生物一回合只需要进行一次该豁免。
在你的每个回合开始时，球状区域会往远离你的方向移动10尺。
升环施法： 使用的法术位每比五环高一环，此法术的伤害就增加1d8。</t>
  </si>
  <si>
    <t>Cloudkill</t>
  </si>
  <si>
    <t>通神术</t>
  </si>
  <si>
    <t>焚香</t>
  </si>
  <si>
    <t>你与一名神明或一名神明的代理人进行联系，并询问至多三个能以“是”或“否”回答的问题。你必须在法术结束前完成提问。你会收到每个问题的正确答案。
这些神能存在也并非全知全能，因此当问题涉及的信息超过神的认知范围时，你可能会得到一句“不确定”作为回答。另外当一个单词的回答可能引致误导或者与神的兴致相违背时，DM 可能会提供一句短语作为答案。
若你在完成一次长休前施展两次或更多次的该法术，则法术有一定的几率不给任何答复。此概率从第二次施展起每次累计25％。</t>
  </si>
  <si>
    <t>Commune</t>
  </si>
  <si>
    <t>问道自然</t>
  </si>
  <si>
    <t>你与自然的灵魂沟通并以此获得周围环境的信息。在户外时，该法术可以让你了解3里内大地的状况。在洞穴和其他天然地下场所中，其范围缩小为300尺半径区域内。自然环境中被建筑覆盖的区域里（比如城堡或城镇中）法术无法生效。
你立即获得的自然资讯至多与该地域三个方面的主题相关，在以下项目中进行选择：
聚居地位置
通往其他位面的传送门位置
一个挑战等级10+的类型为天族、妖精、邪魔、元素或亡灵的生物（由DM选择）的位置
区域内最广泛分布的植物、矿物或动物（你选择得知其中一项）
水体的位置
例如，你可以侦测到某个强大怪物在区域中的位置、水体位置以及附近城镇的方位。</t>
  </si>
  <si>
    <t>Commune with Nature</t>
  </si>
  <si>
    <t>寒冰锥</t>
  </si>
  <si>
    <t>一个小水晶或玻璃锥体</t>
  </si>
  <si>
    <t>你释放出一团寒冷的空气。以你为源点的 60 尺锥状区域内的每名生物进行一次体质豁免。豁免失败受到 8d8 寒冷伤害，豁免成功则受到一半伤害。被该法术杀死的生物将成为一尊冰冻塑像直至其被解冻。
升环施法：使用的法术位每比五环高一环，法术伤害就增加1d8。</t>
  </si>
  <si>
    <t>Cone of Cold</t>
  </si>
  <si>
    <t>咒唤元素</t>
  </si>
  <si>
    <t>你将来自元素位面Elemental Planes的大型虚幻精魂咒唤在施法距离内一处未占据空间中。选择精魄的元素类别，这将决定它造成的伤害类型：气元素（闪电）、土元素（雷鸣）、火元素（火焰）或水元素（寒冷）。精魂在持续时间内一直存在。
每当一名你可见的生物进入精魂所在的空间或是在精魂5尺内开始其回合时，若没有生物被精魂束缚，你可以迫使其进行一次敏捷豁免检定。失败则目标受到8d8对应精魂类型的伤害并且直到法术结束为止，目标陷入束缚状态。陷入束缚状态的目标回合开始时，其重新豁免，失败则目标受到4d8对应精魂类型的伤害，豁免成功则目标不再被精魂束缚。
升环施法： 使用的法术位每比五环高一环，法术的伤害就增加2d8。</t>
  </si>
  <si>
    <t>Conjure Elemental</t>
  </si>
  <si>
    <t>万箭齐发</t>
  </si>
  <si>
    <t>你挥舞作为施法材料的武器并选择施法距离内一点。数以百计相似的幽灵武器（或是适合这把武器的弹药）齐射而出，并在之后消失。以那一点为中心，半径40尺、高20尺的柱状区域内的每名由你选择且你可见的生物进行一次敏捷豁免检定，豁免失败者将受到8d8力场伤害，豁免成功则只受一半伤害。</t>
  </si>
  <si>
    <t>Conjure Volley</t>
  </si>
  <si>
    <t>异界探知</t>
  </si>
  <si>
    <t>你与一名半神、一名古老贤者的亡魂或是其他位面的博学实体建立了精神的连接。与超越人智存在的连接可能会破坏你的心智。当你施展该法术时，进行一次 DC15 的智力豁免。豁免成功时，你可以询问该实体最多五个问题。你必须在法术结束前提出你的问题。DM 将以一个单词回答你的每个问题，例如“是Yes”、“不是No”、“可能Maybe”、“不可能Never”、“无关Irrelevant”或“不清楚Unclear”（意味着该实体不知道该问题的答案）。如果一个单词的答案会造成误解，DM可能会用一句短语作为答案。
豁免失败时，你将受到6d6心灵伤害并且直到你完成一次长休为止，你陷入失能状态。对你施展法术高等复原术Greater Restoration 将结束该效应。</t>
  </si>
  <si>
    <t>Contact Other Plane</t>
  </si>
  <si>
    <t>疫病术</t>
  </si>
  <si>
    <t>7日</t>
  </si>
  <si>
    <t>你的触碰会传染一道魔法疫病。目标必须成功通过一次体质豁免，否则受到11d8暗蚀伤害并陷入中毒状态。此外，当你施展法术时选择一项属性，目标在中毒期间进行所选属性的豁免检定时具有劣势。
目标在其每回合结束时必须重新豁免，直至其累计三次成功或失败。若目标累计三次成功，则结束其身上该法术的效应。若目标累计三次失败，其身上该法术的效应持续7日。
每当中毒目标受到能够结束其中毒状态的效应作用时，目标必须成功通过一次体质豁免，否则其陷入的中毒 状态不会结束。</t>
  </si>
  <si>
    <t>Contagion</t>
  </si>
  <si>
    <t>造物术</t>
  </si>
  <si>
    <t>一支画笔</t>
  </si>
  <si>
    <t>特殊</t>
  </si>
  <si>
    <t>你从堕影冥界Shadowfell取来一些暗影物质，在施法距离内创造一个物件。你可以创造一个植物质（类似纺织品、绳索、木质等）物件，也可以创造一个矿物质（类似石质、水晶、金属等）物件。创造出来的物件大小必须不超过5尺立方区域，且其必须是一种你见过的形态与材质。
法术的持续时间由所创造物件的材质决定，如材质表中所示。如果所创造物件由多种材质组合而成，则其持续时间取其中最短者。施展其他法术时，如果以这些创造物作为其材料成分将会使那道法术失败。
材质Materials 材质 持续时间 
植物 24小时 
岩石或水晶 12小时 
贵金属 1小时 
宝石 10分钟 
精金或秘银 1分钟 
升环施法：使用的法术位每比五环高一环，此法术的立方区域边长就增加5尺。</t>
  </si>
  <si>
    <t>Creation</t>
  </si>
  <si>
    <t>湮灭波</t>
  </si>
  <si>
    <t>毁灭能量从你身上扩散而出，覆盖了30尺光环范围。光环范围内你选择的每个生物进行一次体质豁免。豁免失败者受到5d6点雷鸣伤害和5d6点光耀或暗蚀伤害（由你选择）并且陷入倒地状态。豁免成功只受一半伤害。</t>
  </si>
  <si>
    <t>Destructive Wave</t>
  </si>
  <si>
    <t>驱逐善恶</t>
  </si>
  <si>
    <t>银粉和铁粉</t>
  </si>
  <si>
    <r>
      <rPr>
        <sz val="11"/>
        <color theme="1"/>
        <rFont val="仿宋"/>
        <family val="3"/>
        <charset val="134"/>
      </rPr>
      <t>法术持续时间内，天族、元素、妖精、邪魔和亡灵对你的攻击检定具有劣势。你可以使用下述特殊特性之一以提前结束法术。
　　</t>
    </r>
    <r>
      <rPr>
        <sz val="11"/>
        <color theme="1"/>
        <rFont val="Arial"/>
        <family val="2"/>
      </rPr>
      <t>•</t>
    </r>
    <r>
      <rPr>
        <sz val="11"/>
        <color theme="1"/>
        <rFont val="仿宋"/>
        <family val="3"/>
        <charset val="134"/>
      </rPr>
      <t xml:space="preserve"> 破咒Break Enchantment。以一个魔法动作，你触碰一名因上述生物类型的任意生物而被其附身、陷入魅惑或恐慌状态的生物。目标不再被上述生物附身，魅惑或恐慌。
　　</t>
    </r>
    <r>
      <rPr>
        <sz val="11"/>
        <color theme="1"/>
        <rFont val="Arial"/>
        <family val="2"/>
      </rPr>
      <t>•</t>
    </r>
    <r>
      <rPr>
        <sz val="11"/>
        <color theme="1"/>
        <rFont val="仿宋"/>
        <family val="3"/>
        <charset val="134"/>
      </rPr>
      <t xml:space="preserve"> 驱离Dismissal。以一个魔法动作，你选择距你5尺内的一名你可见的生物，其生物类型必须是上述生物类型之一。目标必须成功于一次魅力豁免，否则，若其并未处于家园位面，则被遣送回其家园位面。对于亡灵和妖精，若它们并未处于家园位面，则亡灵会被遣送回堕影冥界Shadowfell，妖精则被遣送回妖精荒野Feywild。</t>
    </r>
  </si>
  <si>
    <t>Dispel Evil and Good</t>
  </si>
  <si>
    <t>支配类人</t>
  </si>
  <si>
    <t>一名法术范围内你可见的类人生物必须成功于一次感知豁免，否则在持续时间内陷入魅惑状态。若你或你的盟友正在与其战斗，则目标在此豁免上具有优势。目标受到伤害时，可以重复进行该豁免，豁免成功则其身上的此法术终止。
该目标被魅惑期间，只要你与其处于同一位面就可以与之保持心灵感应。在你的回合，你可以通过心灵感应命令该生物（无需动作），比如“攻击那个生物”“跑到那个位置”或是“去拿那个物品”。该生物会在其回合内尽其所能以遵守你的指令。目标完成一项指令却未收到你的进一步指示时，将会凭自身喜好行动，尽可能的保护自己。
你可以用自己的反应去要求目标执行一项反应。
升环施法：使用更高环阶法术位施展时，你的专注能持续更长时间：六环至多10分钟，七环至多1小时，八环及以上至多8小时。</t>
  </si>
  <si>
    <t>Dominate Person</t>
  </si>
  <si>
    <t>托梦术</t>
  </si>
  <si>
    <t>一把沙子</t>
  </si>
  <si>
    <t>你指定一名你知道且与你同处一个存在位面的生物。你（或你触碰的一名自愿生物）将作为信使进入出神。出神下，信使陷入失能状态且速度降为0。
如果目标正睡着，则信使可以在法术持续时间内出现在其梦中并在其沉睡期间与之交流。信使能够塑造梦中的环境，创造景观，物件和其他影像。信使可以随时结束出神状态，以此终止法术。目标在醒来后能清楚地记得其梦境的内容。
如果你施法时目标醒着，则信使可以了解到这点。此时信使可以终止出神并结束法术，或是等待目标入睡再进入其梦境。
你可以让信使以可怕的形象出现。但此时信使只能提供不超过十个单词的信息，随后目标必须成功通过一次感知豁免。豁免失败时，目标便无法从休息中获益，并在其醒来时受到3d6点心灵伤害。</t>
  </si>
  <si>
    <t>Dream</t>
  </si>
  <si>
    <t>焰击术</t>
  </si>
  <si>
    <t>一撮硫磺</t>
  </si>
  <si>
    <t>一支辉煌火焰的立柱从上方呼啸着降落。位于以施法范围内一点为中心，半径10尺、高40尺柱状区域内的每个生物必须进行一次敏捷豁免。豁免失败者将受到5d6点火焰伤害和5d6点光耀伤害，豁免成功则只受到一半伤害。
升环施法：使用的法术位每比五环高一环，其火焰伤害和光耀伤害就均增加1d6。</t>
  </si>
  <si>
    <t>Flame Strike</t>
  </si>
  <si>
    <t>指使术</t>
  </si>
  <si>
    <t>30日</t>
  </si>
  <si>
    <t>你对施法距离内你能看见的一个生物下达一条魔法口头命令，并强迫其执行相应的某种服务或克制某种行为，或者遵照你的要求行动。目标必须成功通过一次感知豁免，否则将在法术持续时间内陷入魅惑状态。目标不能理解你的命令，则其在豁免中自动成功。
被魅惑生物每次做出与你的命令相悖的行为时，即受到5d10点心灵伤害。该伤害一日至多生效一次。
除了涉及导致必死结果的行为外，你向目标下达的任何命令都会生效。如果你发布自杀指令则法术即时终止。
一道移除诅咒Remove Curse，高等复原术Greater Restoration或祈愿术Wish 可以终止该法术。
升环施法：使用七环或八环法术位施展该法术时，持续时间变为365日。使用九环法术位施展该法术时，法术将一直持续至被上文提及的法术所终止。</t>
  </si>
  <si>
    <t>Geas</t>
  </si>
  <si>
    <t>高等复原术</t>
  </si>
  <si>
    <t>价值100GP+的钻石尘，作为法术耗材</t>
  </si>
  <si>
    <r>
      <rPr>
        <sz val="11"/>
        <color theme="1"/>
        <rFont val="仿宋"/>
        <family val="3"/>
        <charset val="134"/>
      </rPr>
      <t>你触碰一名生物并魔法性地移除目标身上的下列效应之一：
　　</t>
    </r>
    <r>
      <rPr>
        <sz val="11"/>
        <color theme="1"/>
        <rFont val="Arial"/>
        <family val="2"/>
      </rPr>
      <t>•</t>
    </r>
    <r>
      <rPr>
        <sz val="11"/>
        <color theme="1"/>
        <rFont val="仿宋"/>
        <family val="3"/>
        <charset val="134"/>
      </rPr>
      <t xml:space="preserve"> 1级力竭
　　</t>
    </r>
    <r>
      <rPr>
        <sz val="11"/>
        <color theme="1"/>
        <rFont val="Arial"/>
        <family val="2"/>
      </rPr>
      <t>•</t>
    </r>
    <r>
      <rPr>
        <sz val="11"/>
        <color theme="1"/>
        <rFont val="仿宋"/>
        <family val="3"/>
        <charset val="134"/>
      </rPr>
      <t xml:space="preserve"> 魅惑或石化状态
　　</t>
    </r>
    <r>
      <rPr>
        <sz val="11"/>
        <color theme="1"/>
        <rFont val="Arial"/>
        <family val="2"/>
      </rPr>
      <t>•</t>
    </r>
    <r>
      <rPr>
        <sz val="11"/>
        <color theme="1"/>
        <rFont val="仿宋"/>
        <family val="3"/>
        <charset val="134"/>
      </rPr>
      <t xml:space="preserve"> 一道诅咒，包括目标因与一件被诅咒魔法物品的同调所陷入的诅咒。
　　</t>
    </r>
    <r>
      <rPr>
        <sz val="11"/>
        <color theme="1"/>
        <rFont val="Arial"/>
        <family val="2"/>
      </rPr>
      <t>•</t>
    </r>
    <r>
      <rPr>
        <sz val="11"/>
        <color theme="1"/>
        <rFont val="仿宋"/>
        <family val="3"/>
        <charset val="134"/>
      </rPr>
      <t xml:space="preserve"> 目标某项属性值的减损
　　</t>
    </r>
    <r>
      <rPr>
        <sz val="11"/>
        <color theme="1"/>
        <rFont val="Arial"/>
        <family val="2"/>
      </rPr>
      <t>•</t>
    </r>
    <r>
      <rPr>
        <sz val="11"/>
        <color theme="1"/>
        <rFont val="仿宋"/>
        <family val="3"/>
        <charset val="134"/>
      </rPr>
      <t xml:space="preserve"> 目标生命值上限的降低</t>
    </r>
  </si>
  <si>
    <t>Greater Restoration</t>
  </si>
  <si>
    <t>圣居</t>
  </si>
  <si>
    <t>价值1000GP+的熏香，作为法术耗材</t>
  </si>
  <si>
    <r>
      <rPr>
        <sz val="11"/>
        <color theme="1"/>
        <rFont val="仿宋"/>
        <family val="3"/>
        <charset val="134"/>
      </rPr>
      <t>你触碰一点并将神圣（或邪秽）的力量注入该点周围区域。区域半径至多 60 尺，若此区域内包含了已被另一个圣居影响的区域，则此次施法失败。受法术影响的区域具有以下效应。
神圣防护 Hallowed Ward。选择以下生物类型的任何一种：异怪，天族，元素，妖精，邪魔，亡灵。所选类型生物不能自愿进入该区域，任何被这些生物魅惑，恐慌或附身的生物只要在该区域内将不再被他们魅惑，恐慌或附身。
额外效果Extra Effect。你可以为该区域绑定下列其中一种额外效应，：
　　</t>
    </r>
    <r>
      <rPr>
        <sz val="11"/>
        <color theme="1"/>
        <rFont val="Arial"/>
        <family val="2"/>
      </rPr>
      <t>•</t>
    </r>
    <r>
      <rPr>
        <sz val="11"/>
        <color theme="1"/>
        <rFont val="仿宋"/>
        <family val="3"/>
        <charset val="134"/>
      </rPr>
      <t xml:space="preserve"> 无畏 Courage。你选择的任何类型的生物在该区域内时不会陷入恐慌状态。
　　</t>
    </r>
    <r>
      <rPr>
        <sz val="11"/>
        <color theme="1"/>
        <rFont val="Arial"/>
        <family val="2"/>
      </rPr>
      <t>•</t>
    </r>
    <r>
      <rPr>
        <sz val="11"/>
        <color theme="1"/>
        <rFont val="仿宋"/>
        <family val="3"/>
        <charset val="134"/>
      </rPr>
      <t xml:space="preserve"> 黑暗 Darkness。区域内处于黑暗环境，普通光源以及比本法术更低环法术所创造的魔法光源均无法照亮该区域。
　　</t>
    </r>
    <r>
      <rPr>
        <sz val="11"/>
        <color theme="1"/>
        <rFont val="Arial"/>
        <family val="2"/>
      </rPr>
      <t>•</t>
    </r>
    <r>
      <rPr>
        <sz val="11"/>
        <color theme="1"/>
        <rFont val="仿宋"/>
        <family val="3"/>
        <charset val="134"/>
      </rPr>
      <t xml:space="preserve"> 昼明Daylight。区域内处于明亮光照，比本法术更低环法术所创造的魔法黑暗无法掩盖亮光。
　　</t>
    </r>
    <r>
      <rPr>
        <sz val="11"/>
        <color theme="1"/>
        <rFont val="Arial"/>
        <family val="2"/>
      </rPr>
      <t>•</t>
    </r>
    <r>
      <rPr>
        <sz val="11"/>
        <color theme="1"/>
        <rFont val="仿宋"/>
        <family val="3"/>
        <charset val="134"/>
      </rPr>
      <t xml:space="preserve"> 平静长眠 Peaceful Rest。区域内埋葬的尸体不能被转化成亡灵。
　　</t>
    </r>
    <r>
      <rPr>
        <sz val="11"/>
        <color theme="1"/>
        <rFont val="Arial"/>
        <family val="2"/>
      </rPr>
      <t>•</t>
    </r>
    <r>
      <rPr>
        <sz val="11"/>
        <color theme="1"/>
        <rFont val="仿宋"/>
        <family val="3"/>
        <charset val="134"/>
      </rPr>
      <t xml:space="preserve"> 次元干涉Extradimensional Interference。你选择的任何类型的生物均不能通过传送或者位面旅行的方式进入或离开该区域。
　　</t>
    </r>
    <r>
      <rPr>
        <sz val="11"/>
        <color theme="1"/>
        <rFont val="Arial"/>
        <family val="2"/>
      </rPr>
      <t>•</t>
    </r>
    <r>
      <rPr>
        <sz val="11"/>
        <color theme="1"/>
        <rFont val="仿宋"/>
        <family val="3"/>
        <charset val="134"/>
      </rPr>
      <t xml:space="preserve"> 恐惧Fear。你所选择的任何类型的生物在该区域内时陷入恐慌状态。
　　</t>
    </r>
    <r>
      <rPr>
        <sz val="11"/>
        <color theme="1"/>
        <rFont val="Arial"/>
        <family val="2"/>
      </rPr>
      <t>•</t>
    </r>
    <r>
      <rPr>
        <sz val="11"/>
        <color theme="1"/>
        <rFont val="仿宋"/>
        <family val="3"/>
        <charset val="134"/>
      </rPr>
      <t xml:space="preserve"> 抗性Resistance。你所选择的任何类型的生物在该区域内时，对你所选择的一种伤害类型具有抗性。
　　</t>
    </r>
    <r>
      <rPr>
        <sz val="11"/>
        <color theme="1"/>
        <rFont val="Arial"/>
        <family val="2"/>
      </rPr>
      <t>•</t>
    </r>
    <r>
      <rPr>
        <sz val="11"/>
        <color theme="1"/>
        <rFont val="仿宋"/>
        <family val="3"/>
        <charset val="134"/>
      </rPr>
      <t xml:space="preserve"> 沉默Silence。声音无法从区域内发出，区域外的声音也不能传到区域内。
　　</t>
    </r>
    <r>
      <rPr>
        <sz val="11"/>
        <color theme="1"/>
        <rFont val="Arial"/>
        <family val="2"/>
      </rPr>
      <t>•</t>
    </r>
    <r>
      <rPr>
        <sz val="11"/>
        <color theme="1"/>
        <rFont val="仿宋"/>
        <family val="3"/>
        <charset val="134"/>
      </rPr>
      <t xml:space="preserve"> 巧言Tongues。你所选择的任何类型生物与区域内的任何其他生物即使语言不通也可以随意交流。
　　</t>
    </r>
    <r>
      <rPr>
        <sz val="11"/>
        <color theme="1"/>
        <rFont val="Arial"/>
        <family val="2"/>
      </rPr>
      <t>•</t>
    </r>
    <r>
      <rPr>
        <sz val="11"/>
        <color theme="1"/>
        <rFont val="仿宋"/>
        <family val="3"/>
        <charset val="134"/>
      </rPr>
      <t xml:space="preserve"> 易伤Vulnerability。区域内你所选择的任何类型生物具有你所选择的一种伤害类型的易伤。</t>
    </r>
  </si>
  <si>
    <t>Hallow</t>
  </si>
  <si>
    <t>定身怪物</t>
  </si>
  <si>
    <t>指定施法距离内一个你能看见的生物。该目标必须进行一次感知豁免，豁免失败则其在法术持续时间内陷入麻痹状态。目标在其每回合结束时可以重新进行这次豁免，豁免成功则终止其身上该法术的效应。
升环施法：使用的法术位每比五环高一环，你就可以额外指定一个生物作为此法术的目标。</t>
  </si>
  <si>
    <t>Hold Monster</t>
  </si>
  <si>
    <t>疫病虫群</t>
  </si>
  <si>
    <t>一只蝗虫</t>
  </si>
  <si>
    <t>你指定施法距离内一点，并以该点为中心使半径 20 尺球状区域内堆满成群的噬人蝗虫。虫群使整个区域成为困难地形并处于轻度遮蔽，在法术终止前都会持续存在。
当虫群显现时，区域内的每个生物都必须进行一次体质豁免，豁免失败则受到4d10穿刺伤害，成功则受到半数伤害。生物在一个回合内第一次进入该区域内，或者在区域内结束其回合时，也必须进行该豁免。一名生物每回合仅需进行一次该豁免。
升环施法： 使用六环或更高法术位施展该法术时，你使用的法术位每比五环高一环，伤害就增加1d10。</t>
  </si>
  <si>
    <t>Insect Plague</t>
  </si>
  <si>
    <t>贾拉兹光辉风暴</t>
  </si>
  <si>
    <t>一撮磷粉</t>
  </si>
  <si>
    <t>你以施法距离内你能看到的一点为中心，创造出一场闪光和雷鸣交织的风暴，席卷10尺半径、40尺高度的柱状区域。在这片区域内，生物会陷入目盲和耳聋状态，并且不能施展任何含有声音成分的法术。
当风暴出现时，任何处于其中的生物都必须进行一次体质豁免，豁免失败则受到2d10点光耀伤害与2d10点雷鸣伤害，豁免成功受到半数伤害。生物在一个回合内首次进入该区域内，或者在区域内结束其回合时，也必须进行该豁免。一名生物每回合仅需进行一次该豁免。
升环施法：使用的法术位每比五环高一环，此法术的光耀和雷鸣伤害都回增加1d10。</t>
  </si>
  <si>
    <t>Jailarzi's Storm of Radiance</t>
  </si>
  <si>
    <t>通晓传奇</t>
  </si>
  <si>
    <t>价值250+GP的熏香，作为法术耗材。以及每块价值50+GP的四块象牙板</t>
  </si>
  <si>
    <t>点名或描述一个著名的人物，地点，或物件。该法术在你脑海中形成一段由DM描述的关于该事物重要传闻的简单概述。
这些传闻可能包括了重要的细节，有趣的揭秘，也可能是不曾被广泛知晓的秘闻。你掌握目标越多的信息，所得到的信息就越精确细致。你由此得到的信息必定是准确的，但仍可能会以比喻或诗歌来表达，具体将由DM决定。
如果你选的事物其实并不著名，你会听到仿佛由长号演奏而出的悲伤的音符，随后法术失败。</t>
  </si>
  <si>
    <t>Legend Lore</t>
  </si>
  <si>
    <t>群体疗伤术</t>
  </si>
  <si>
    <t>一道治愈能量从施法距离内你指定的一点涤荡而出。你在该点周边30尺半径的球状区域内指定至多六个生物，并使每个目标生物恢复 5d8+你的施法属性调整值 点生命值。
升环施法：使用的法术位每比五环高一环，法术的治疗量就增加1d8。</t>
  </si>
  <si>
    <t>Mass Cure Wounds</t>
  </si>
  <si>
    <t>假象术</t>
  </si>
  <si>
    <t>你获得隐形状态，同时在你站的地方出现一个和你一样的幻象分身。分身会持续存在至法术持续时间结束；但如果你发动攻击、造成伤害或施展法术，则隐形随之结束。
以一个魔法动作，你可以令分身以至多两倍于你的速度移动并可以令其打手势、说话，以及以任何你指定的方式行事。分身无法被触及且无法受伤。
你可以通过分身的眼睛视物，用分身的耳朵聆听，如同你处于它的位置一样。</t>
  </si>
  <si>
    <t>Mislead</t>
  </si>
  <si>
    <t>篡改记忆</t>
  </si>
  <si>
    <t>你尝试重塑另一个生物的记忆。指定施法距离内一个你能看见的生物进行一次感知豁免。如果你正与该生物战斗，则它进行该豁免时具有优势。豁免失败时，该生物会在法术持续时间内陷入魅惑状态。被魅惑的目标陷入失能状态且无法感知周边的事物，但它仍然能听到你的声音。如果它受到任何伤害或者成为另一个法术的目标，则该法术终止且目标的记忆不会被修改。
该魅惑持续时，你可以改变目标关于过去 24 小时内经历的一个持续时间不超过十分钟的事件记忆。你可以永久地消除所有关于该事件的记忆，也可以让目标完美清晰地回忆起该事件的所有细节，还可以改变目标关于该事件记忆细节，或是创造一段关于其他事情的记忆。
你必须通过对目标说话来描述如何改变其记忆，并且目标必须能够听懂你的语言以便你植入被改变后的记忆。目标的意识会将你描述中所有缺失的细节填补完全。如果法术在你描述完被修改的记忆前就结束，则目标的记忆不会被改变。反之修改过的记忆会在法术终止时根植于目标心中。
修改过的记忆不一定会影响生物的行为，特别是当修改后的记忆违背了目标的天性，阵营或信仰时。如果植入一段不合逻辑的记忆（例如给目标灌输它有多么享受在强酸中泡澡的记忆），则目标会将其视为一场噩梦而加以忽视。DM 也可以判定某段修改过的记忆太过荒谬，故而无法影响生物。
对目标施展法术移除诅咒Remove Curse或高等复原术Greater Restoration后即可使目标恢复真实的记忆。
升环施法：使用五环以上的法术位时，你可以改变目标关于过去 7 日内（六环）、30 日内（七环）、1 年内（八环）或者在过去任意时刻（九环）所发生事件的记忆。</t>
  </si>
  <si>
    <t>Modify Memory</t>
  </si>
  <si>
    <t>穿墙术</t>
  </si>
  <si>
    <t>一撮芝麻</t>
  </si>
  <si>
    <t>一处通道在施法距离内木质、泥灰、或岩石表面（如墙壁、天花板、地板）上你可见的一点出现，且持续至法术结束。由你选择开口的大小，其至多宽5尺，高8尺，深20尺。通道不会使其周围的结构变得不稳定。
开口消失时，任何仍旧位于通道中的生物或物件会被安全地弹射到距你施展此法术时选择的表面最近的一处未占据空间中。</t>
  </si>
  <si>
    <t>Passwall</t>
  </si>
  <si>
    <t>异界誓缚</t>
  </si>
  <si>
    <t>一颗价值1000+GP的宝石，作为法术耗材</t>
  </si>
  <si>
    <t>你试图誓缚一名生物类型为天族、元素、妖精或邪魔的生物使其为你服务。生物必须在施法过程中一直位于施法距离内。（通常来说，在施展该法术期间，生物会先被召唤到一道反向作用的防护法阵Magic Circle中困住。）施法完成时，目标必须成功通过一次魅力豁免，否则在持续时间内必须为你服务。如果生物是由另一道法术召唤或创造的，则那道法术的持续时间会被延长到与此法术的持续时间一致。
一名被誓缚的生物必须尽其最大的努力遵循你的命令。你可能命令该生物在你冒险时陪伴你，或守卫一个地点，又或者传递一个信息。如果此生物与你敌对，则它会努力曲解你的字面意思来达到它自己的目标。如果生物在法术终止前完全执行了你的指示而你们仍处于同一位面，则它会当面向你汇报。如果你们处于不同位面，则它会回到与其建立誓约之地，并停留该处直至法术终止。
升环施法：使用更高环法术位施展该法术时，法术持续时间增加：六环10日，七环30日，八环180日，九环366日。</t>
  </si>
  <si>
    <t>Planar Binding</t>
  </si>
  <si>
    <t>死者复活</t>
  </si>
  <si>
    <t>一颗价值500+GP的钻石，作为法术耗材</t>
  </si>
  <si>
    <t>你触碰一名已死，但死亡时间不超过10日，且死亡时并非亡灵Undead的生物，使其回生。
生物以1点生命值重生。该法术同样会中和在该生物死亡时仍在生效的毒素。
该法术能治愈所有致命伤，但无法恢复失去的身体部位。如果该生物缺失了它生存所必要的身体部位或器官（比如头），则该法术自动失败。
死而复生是一个痛苦的体验。目标进行D20检定时具有-4减值。目标每完成一次长休，其减值就减少1，直至减值变为0。</t>
  </si>
  <si>
    <t>Raise Dead</t>
  </si>
  <si>
    <t>拉瑞心灵联结</t>
  </si>
  <si>
    <t>两颗蛋</t>
  </si>
  <si>
    <t>你使得施法距离内你选择的至多八名自愿生物在法术持续时间内建立心灵连线。不能以任何语言进行沟通的生物不受该法术影响。
直到法术终止，所有受术生物都可以通过心灵连线与其他受术生物进行心灵感应，不论他们是否语言相通。该交流方式可以跨越任意距离，但不能跨过存在位面。</t>
  </si>
  <si>
    <t>Rary's Telepathic Bond</t>
  </si>
  <si>
    <t>转生术</t>
  </si>
  <si>
    <t>价值1000GP+的珍稀油，作为法术耗材</t>
  </si>
  <si>
    <t>你触及一名类人生物的遗体或遗体的一部分。若该生物死亡时间不超过10日，则法术会创造出一具新的成年身体，并呼唤该生物的灵魂进入此新身躯。骰1d10，然后参照下表来决定新躯体的种族，或者DM也可以选择其他可选种族。
1d10 种族  1d10 种族 
1 阿斯莫  6 歌利亚 
2 龙裔  7 半身人 
3 矮人  8 人类 
4 精灵  9 兽人 
5 侏儒  10 提夫林 
若种族描述中提供了可选选项，则由被转生的生物做出选择，且其保留其前生记忆。目标保留原形的一切能力，不过其种族特质将以新种族的相应特质做更替。</t>
  </si>
  <si>
    <t>Reincarnate</t>
  </si>
  <si>
    <t>探知</t>
  </si>
  <si>
    <t>一个价值1000GP+的聚焦镜，例如水晶球银镜装满水的圣水池之类的</t>
  </si>
  <si>
    <t>专注，最多10分钟</t>
  </si>
  <si>
    <t>你能看见和听见一个和你处于同一存在位面上的生物。目标生物必须进行一次感知豁免；该豁免的调整值与你对目标的了解程度有关（见下文），也与你和目标之间的物理联系程度有关。目标不知道它进行此豁免在对抗什么，只是会感觉不自在。
你对目标的了解有… 豁免调整值  你对目标的了解有… 豁免调整值 
二手信息（你曾经听说过目标） +5  肖像或其他图像 -2 
直接信息（你曾经见过目标） +0  衣物或其他物品 -4 
熟悉（你对目标很了解） -5  身体部位如头发或指甲 -10 
如果对方豁免成功，则目标不受该法术影响，并且在 24 小时内你无法再次对其施展该法术。
如果对方豁免失败，则你在目标身边 10 尺内创造出一个隐形且不具备实体的传感器。通过传感器，你可以身临其境地看见和听见周围的环境。传感器会跟随目标移动，并在法术持续时间内始终保持在目标 10 尺之内。在能够看到传感器的生物眼中，你的传感器是一个与你的拳头一般大小的光球。
除生物之外，你也可以选择一个你以前见过的地点作为该法术的目标。这种情况下，传感器会出现在目标地点且不会移动。</t>
  </si>
  <si>
    <t>Scrying</t>
  </si>
  <si>
    <t>伪装术</t>
  </si>
  <si>
    <t>你选择施法距离内你能看见的任意数量生物，为他们提供一个虚假外观。不愿意受该法术影响的目标可以进行一次魅力豁免，豁免成功则不受该法术影响。
你可以为不同目标提供同样或不同的外观。法术能改变生物的身体和装备外观。你可以让目标看起来身高有 1 尺的增减，看上去更轻或更重。目标的新形貌的肢体结构必须与目标原形相符，但你可以随意改变其他的外观特征。法术会持续至时间结束。
此法术产生的变化无法应对物理检查。比如，你用此法术为一个生物添了一顶帽子，那么现实物件会穿过帽子。
一个使用研究动作来检查目标的生物可以进行一次智力（调查）检定来对抗你的法术豁免DC。如果它成功了，它会意识到目标进行了伪装。</t>
  </si>
  <si>
    <t>Seeming</t>
  </si>
  <si>
    <t>钢风斩</t>
  </si>
  <si>
    <t>一把价值1P+的近战武器</t>
  </si>
  <si>
    <t xml:space="preserve">你舞动用于施法的武器，随后忽然消失并如疾风般发起一轮突击。选择施法距离内最多5个你可见的生物。向每个生物分别进行一次近战法术攻击。若命中，目标将受到6d10点力场伤害。
在这之后，你可以传送到法术目标之一周围5尺内一处你可以看见且未占据空间中。
（译注：根据最新的术语定义，一次“用武器发动的攻击”就是“武器攻击”（与“法术攻击”并不冲突），可以参考戏法克敌先机True Strike。） </t>
  </si>
  <si>
    <t>Steel Wind Strike</t>
  </si>
  <si>
    <t>天界召唤术</t>
  </si>
  <si>
    <t>一个的金制圣物匣，价值500GP+</t>
  </si>
  <si>
    <t>你唤来一个天界灵魄。其使用下文天界灵魄的数据，并会在施法距离内一处你可见的未被占据的空间中显现。当你施展法术时，从复仇圣灵或守护圣灵选择一个，其数据中的部分特性也受此影响。该生物会在生命值降为0或是法术结束时消失。
该生物是你的盟友（对你的其它盟友亦是如此）。它在战斗中使用你的先攻，并在你回合结束后立即行动。它遵从于你的口头指令（无需任何动作）。如果你不发令，它将执行回避动作并远离危险。
升环施法：该生物的数据使用新的法术环阶。
天界灵魄Celestial Spirit 
大型天族，绝对中立
AC 11+法术环阶+2（仅守护圣灵）
HP 40+每比5环高的法术环阶10点
速度30尺，飞行40尺
力量16|+3|+3 敏捷14|+2|+2 体质16|+3|+3
智力10|+0|+0 感知14|+2|+2 魅力16|+3|+3
抗性：光耀
免疫：魅惑，恐慌
感官：黑暗视觉60尺，被动察觉12
语言：天界语，理解你的语言
CR无（XP0；PB等于你的熟练加值）
动作Actions
多重攻击Multiattack。灵魄发动等于法术环阶一半次数的攻击（向下取整）。
光耀之弓Radiant Bow（仅复仇圣灵）。远程攻击检定：加值等于你的法术攻击加值，射程600尺。命中：2d6+2+法术环阶的光耀伤害。
光耀之锤Radiant Mace（仅守护圣灵）。近战攻击检定：加值等于你的法术攻击加值，触及5尺。命中：1d10+3+法术环阶的光耀伤害，且灵魄可选择自己或其10尺内可见的另一生物，令其获得1d10临时生命值。
治愈之触Healing Touch（1/日）。灵魄触碰另一生物。目标魔法性地恢复2d8+法术环阶点生命值。</t>
  </si>
  <si>
    <t>Summon Celestial</t>
  </si>
  <si>
    <t>龙类召唤术</t>
  </si>
  <si>
    <t>一件刻有巨龙图案的物品，价值500GP+</t>
  </si>
  <si>
    <t>你唤来一个龙类灵魄。其使用下文巨龙灵魄的数据，并会在施法距离内一处你可见的未被占据的空间中显现。该生物会在生命值降为0或是法术结束时消失。
该生物是你的盟友（对你的其它盟友亦是如此）。它在战斗中使用你的先攻，并在你回合结束后立即行动。它遵从于你的口头指令（无需任何动作）。如果你不发令，它将执行回避动作并远离危险。
升环施法：该生物的数据使用新的法术环阶。
巨龙灵魄Draconic Spirit 
大型龙类，绝对中立
AC 14+法术环阶
HP 50+每比5环高的法术环阶10点
速度30尺，飞行60尺，游泳30尺
力量19|+4|+4 敏捷14|+2|+2 体质17|+3|+3
智力10|+0|+0 感知14|+2|+2 魅力14|+2|+2
抗性：强酸，冷冻，火焰，闪电，毒素
免疫：魅惑，恐慌，中毒
感官：盲视30尺，黑暗视觉60尺，被动察觉12
语言：龙语，理解你的语言
CR无（XP0；PB等于你的熟练加值）
特质Traits
分享抗性Shared Resistances。当你召唤此灵魄时，选择一项它具有的伤害抗性。直至法术结束前，你也会获得所选伤害的抗性。
动作Actions
多重攻击Multiattack。灵魄发动等于法术环阶一半次数的撕裂攻击（向下取整），并使用其吐息武器。
撕裂Rend。近战攻击检定：加值等于你的法术攻击加值，触及10尺。命中：1d6+4+法术环阶的穿刺伤害。
吐息武器Breath Weapon。敏捷豁免：DC等于你的法术豁免DC，30尺锥状内的每个生物。失败：2d6点伤害（伤害类型由你在施法时从灵魄的伤害抗性中选择）。成功：半伤。</t>
  </si>
  <si>
    <t>Summon Dragon</t>
  </si>
  <si>
    <t>迅捷箭袋</t>
  </si>
  <si>
    <t>一个价值1+GP的箭袋</t>
  </si>
  <si>
    <t>你施展该法术时，可以用一个射出箭矢或弩矢的武器（例如长弓和轻弩）进行两次攻击。随后，在法术结束前你能用附赠动作再次用这种武器发动两次攻击。法术会魔法性地为每次攻击生成所需的弹药。以此法生成的每发箭矢或弩矢如同类非魔法弹药一般造成伤害，且不论是否命中都会在攻击后立即瓦解。</t>
  </si>
  <si>
    <t>Swift Quiver</t>
  </si>
  <si>
    <t>突触静止</t>
  </si>
  <si>
    <t>选择施法距离内的一点，你引爆其间的心灵能量。以那一点为中心，半径20尺球状区域内的每个生物进行一次智力豁免检定。豁免失败的生物受到8d6心灵伤害，成功则只受到一半伤害。
豁免失败的目标还会在接下来的1分钟内思想混乱。在此期间，目标每次进行攻击检定、属性检定和为维持专注而进行体质豁免检定时都获得一枚d6的减值。在目标的每个回合结束时它都可以重新进行智力豁免检定，若成功将结束这个效应对自己的影响。</t>
  </si>
  <si>
    <t>Synaptic Static</t>
  </si>
  <si>
    <t>心灵遥控</t>
  </si>
  <si>
    <r>
      <rPr>
        <sz val="11"/>
        <color theme="1"/>
        <rFont val="仿宋"/>
        <family val="3"/>
        <charset val="134"/>
      </rPr>
      <t>你获得以思想移动或操纵生物或物件的能力。当你施展该法术时或于该法术终止前，你在法术施展之后的回合中都可以用一个魔法动作，将你的意志强加于施法距离内你可见的一名生物或一个物件之上，并造成下述对应的效应。你可以一轮接一轮地影响同一个目标，也可以在任何时候选择一个新的目标。如果你改变了目标，则之前的目标将不再受该法术影响。
　　</t>
    </r>
    <r>
      <rPr>
        <sz val="11"/>
        <color theme="1"/>
        <rFont val="Arial"/>
        <family val="2"/>
      </rPr>
      <t>•</t>
    </r>
    <r>
      <rPr>
        <sz val="11"/>
        <color theme="1"/>
        <rFont val="仿宋"/>
        <family val="3"/>
        <charset val="134"/>
      </rPr>
      <t xml:space="preserve"> 生物Creature。你可以尝试移动一名巨型或更小的生物。目标必须成功于一次力量豁免，否则你可以在施法范围内将其往任意方向移动至多30尺。在你的下个回合结束前，该生物陷入束缚状态，而被你举到空中的生物会在半空中悬停。除非你再次对该被举到空中的生物使用此选项且其失败于豁免，否则其会在你的下个回合结束时坠落。
　　</t>
    </r>
    <r>
      <rPr>
        <sz val="11"/>
        <color theme="1"/>
        <rFont val="Arial"/>
        <family val="2"/>
      </rPr>
      <t>•</t>
    </r>
    <r>
      <rPr>
        <sz val="11"/>
        <color theme="1"/>
        <rFont val="仿宋"/>
        <family val="3"/>
        <charset val="134"/>
      </rPr>
      <t xml:space="preserve"> 物件Object。你可以尝试移动一个巨型或更小的物件。如果该物品没有被着装或携带，则你可以自动使它在施法范围内朝任何方向移动至多30尺。
如果该物件已被一名生物着装或携带，则该生物必须成功于一次力量豁免，否则你可以把目标物件从该生物身上驱离，并且使该物体在施法范围内朝任意方向移动至多30尺。
你可以使用心灵遥控对物件进行精密操作，例如操纵一件简单的工具，打开一扇门或一个容器，把东西放进或拿出一个打开的容器中，或是把一个小瓶子里的东西倒出来。</t>
    </r>
  </si>
  <si>
    <t>Telekinesis</t>
  </si>
  <si>
    <t>传送法阵</t>
  </si>
  <si>
    <t>价值50+GP的珍稀墨水，作为法术耗材</t>
  </si>
  <si>
    <t>施展该法术时，你在地上画出一个半径5尺的圆圈，并在其周围画出印记。这个圆形法阵将你所处的位置与一个你所选择的，与你处在同个位面上的永久传送法阵相连（你必须知道该法阵的印记序列）。圆圈中将打开一个发光的传送门，并持续开启到你的下一回合结束。任何进入传送门的生物将立即出现在目标法阵附近5尺内，如果该空间已被占据，则出现在最靠近目标法阵的未占据空间中。
许多大神殿、公会大厅和其他重要的场所都设有永久的传送法阵。这种法阵各有自己独一无二的印记序列，即按特定顺序排列的一串魔法符文。
你第一次获得施展该法术的能力时，你会习得物质位面上两个永久法阵的印记序列（由DM决定），随后你还可以在旅途中习得更多的印记序列。你只要花一分钟仔细研究一个新的印记序列就能够将其记录下来。
当你每日对同一地点连续施展该法术持续365天之后，将创造出一个永久的传送法阵。</t>
  </si>
  <si>
    <t>Teleportation Circle</t>
  </si>
  <si>
    <t>树跃术</t>
  </si>
  <si>
    <t>你能够进入树木中，并从树木内部移动到距其500尺内的一棵同类树木内。两棵树必须都是活的，且其体型至少要和你一样。你进入一棵树时必须消耗5尺移动力。你将在进入树木后立即知道附近500尺内所有同类树木的位置，且作为进入树木所用移动的一部分，你可以移动到这些同类树木的其中一棵，或走出你所在的树木。你将出现在距作为目的地的树木5尺内你所选择的一点，并因此再消耗5尺移动力。如果你的移动力已经耗尽，则你将出现在距你进入的树木周围5尺内某处。
在你的每个回合内，你仅能使用这样的输送能力一次。而且你必须在树外结束你的回合。</t>
  </si>
  <si>
    <t>Tree Stride</t>
  </si>
  <si>
    <t>力场墙</t>
  </si>
  <si>
    <t>一块玻璃碎片</t>
  </si>
  <si>
    <t>由力场构成的隐形力场墙出现在施法距离内你指定的一点上。这面力场墙的朝向由你决定：你可以使力场墙成为水平或垂直的结界，亦可以使它形成一定倾角。它可以浮在空中，也可以立于某个坚固表面其上。你可以将它塑成半球状或球状（半径最长 10 尺），也可以塑成一个由十个 10 尺×10 尺的方板块构成的平面，而每块板块都必须要和至少一块其他板块相连。不管形状如何，力场墙的厚度总是 1/4 寸。力场墙将持续存在至法术终止。如果力场墙形成时穿过了某个生物所占据的空间，则该生物会被推到力场墙的一侧（由你来决定是哪一侧）。
没有任何事物可以通过物理方式穿过力场墙。力场墙免疫所有伤害，也不能被解除魔法Dispel Magic所解除，但法术解离术Disintegrate可以使其立即摧毁。力场墙能够延伸进以太位面Ethereal Plane ，因此可以阻断进入以太位面穿过墙壁旅行。</t>
  </si>
  <si>
    <t>Wall of Force</t>
  </si>
  <si>
    <t>石墙术</t>
  </si>
  <si>
    <t>一块方形花岗岩</t>
  </si>
  <si>
    <t>一面坚硬的非魔法石墙出现在施法距离内你指定的一点。该石墙厚达6寸，由十个10×10尺的方板块组成。每块板块都必须要和至少一块其他板块相连。另外你也可以选择以十个 10×20 尺的板块组成石墙，但厚度只有3寸。
如果石墙形成时穿过了某生物所占据的空间，则该生物会被推到石墙的一侧（由你决定推到哪一侧）。如果该生物即将被石墙完全包围住（或被石墙和另一个坚硬的平面包围），则它可以进行一次敏捷豁免。若豁免成功，则该生物可以执行一个反应来移动至多等于其速度的距离，从而避免被墙围住。
你可以将石墙塑成你想要的任何形状，但它不能与其他生物或物件同占一处空间。该墙不必垂直于地面，也不需要地基；但它必须从稳固的既有石块中延伸出来。因此，你可以使用该法术创造一条跨越峡谷的桥或是造一个斜坡。
如果你创造的跨度超过了20尺，你必须把每一块的大小减半来创造支撑。你可以对石墙进行粗略塑形，造出城垛等类似的东西。
这个墙是一个可以因受到伤害而被打破的石制物件。每块板块的AC为15，且该板块每有1寸厚度就有30点生命值。其具有对毒素、心灵伤害的免疫。当一块板块的生命值降至0时则该板块被摧毁，而且与它相连的板块也可能会崩塌，具体由DM判断。
如果你在整个法术持续时间内一直保持住该法术的专注，则石墙将永久存在且不能被解除。如果你没能这么做，则石墙在法术终止时随即消失。</t>
  </si>
  <si>
    <t>Wall of Stone</t>
  </si>
  <si>
    <t>悠兰德王者威仪</t>
  </si>
  <si>
    <t>一顶微型皇冠</t>
  </si>
  <si>
    <t>你在自身周围散发出覆盖10尺光环区域的可怖威严，无论何时，当光环进入一名你可见的生物的占据空间，或是一名你可见的生物进入光环或是在光环之中结束自己的回合时，你都可以迫使这名生物进行一次感知豁免。豁免失败的生物将受到4d6点心灵伤害并陷入倒地状态，且你可以将其推离10尺。豁免成功的生物只受一半伤害。一名生物一回合只进行一次此豁免。</t>
  </si>
  <si>
    <t>Yolande's Regal Presence</t>
  </si>
  <si>
    <t>秘法门</t>
  </si>
  <si>
    <t>你创造两个相连的传送门。指定地面上你能看见的两处未被占据的大型空间，其中一点在法术距离内，另一点则在你身边 10 尺内。随后将会开启一个通往两处的圆形传送门，并持续到法术结束。
传送门边缘为闪烁的二维环形，其内布满遮挡视野的迷雾，且整个垂直地悬浮在离地几寸处。传送门单面开启（由你选择），那一面即是传送门生效的一面。
任何进入其中一个传送门的东西将从另一个传送门里出现，如同两个传送门邻接一样。以一个附赠动作，你可以改变其开门的朝向。</t>
  </si>
  <si>
    <t>Arcane Gate</t>
  </si>
  <si>
    <t>剑刃护壁</t>
  </si>
  <si>
    <t>你创造出一面由旋转着的魔法能量剑刃组成的墙壁。墙壁在持续时间内在你的施法距离之内持续存在。你可以选择创造长不过100尺、高不过20尺、厚不过5尺的直墙；或是直径不过60尺、高不过20尺、厚不过5尺的环形墙。墙提供四分之三掩护，而墙体所占据的空间则视为困难地形。
所有处于墙所占据空间的生物必须进行一次敏捷豁免，豁免失败者受到6d10力场伤害，成功则受到一半伤害。生物在进入墙所占据的空间或者在其中结束回合时也需要进行此豁免。一个生物每回合只会进行一次此豁免。</t>
  </si>
  <si>
    <t>Blade Barrier</t>
  </si>
  <si>
    <t>连锁闪电</t>
  </si>
  <si>
    <t>三根银质别针</t>
  </si>
  <si>
    <t>你放出一道闪电，射向施法距离内某个你能看见的指定目标。经过首个目标后，闪电分成三束跳向该目标30尺内至多3个其他目标。闪电的目标可以是生物或物件，但每束闪电必须指定不同的目标。
每个目标必须进行一次敏捷豁免。豁免失败者将受到10d8点闪电伤害，豁免成功受到半数伤害。
升环施法：使用高于六环的法术位施展该法术时，你使用的法术位每比六环高一环，跳跃后闪电就多分出一束射向一个不同的目标。</t>
  </si>
  <si>
    <t>Chain Lightning</t>
  </si>
  <si>
    <t>死亡法阵</t>
  </si>
  <si>
    <t>价值500GP+的研磨黑珍珠粉末</t>
  </si>
  <si>
    <t>一阵负能量波从施法距离内你选择的一点放出，覆盖以该点为中心半径60尺球状区域。每个位于区域内的生物都进行一次体质豁免。豁免失败者受到8d8点暗蚀伤害，豁免成功则受到半数伤害。
升环施法：使用的法术位每比六环高一环，法术的伤害就增加2d8。</t>
  </si>
  <si>
    <t>Circle of Death</t>
  </si>
  <si>
    <t>咒唤妖精</t>
  </si>
  <si>
    <t>你将来自妖精荒野的中型精魂咒唤在施法距离内一处你可见的未占据空间中。精魂在持续时间内一直存在，其外貌看起来像是一名你选择的妖精生物。当精魂显现时，你可以对位于精魂5尺内的一名生物进行一次近战法术攻击。命中则目标受到等于3d12加你施法属性调整值总和的心灵伤害，并且直到你的下个回合开始为止，目标处于恐慌状态，你和精魂均是目标的恐惧源。
在后续的你的回合中，以一个附赠动作，你可以将精魂传送至一处位于其原位置30尺内的你可见的未占据空间，并对位于精魂5尺内的一名生物进行上述攻击。
升环施法： 使用的法术位每比六环高一环，法术造成的伤害就增加2d12。</t>
  </si>
  <si>
    <t>Conjure Fey</t>
  </si>
  <si>
    <t>触发术</t>
  </si>
  <si>
    <t>一尊价值1500+GP的饰宝石自塑像</t>
  </si>
  <si>
    <t>选择一道五环或以下的你能够施展的法术，其施法时间需为动作且能够以你为目标。这道法术被称为凭依法术。你作为施展触发术的一部分施展凭依法术，同时消耗凭依法术与触发术的法术位，但凭依法术并不会立即生效，而是在满足特定触发条件时才生效。你在施展这两道法术的时候描述触发条件。例如，触发术与水下呼吸Water Breathing 一起施展可以确保水下呼吸在你被水或类似液体淹没时触发其效应。
凭依法术的效应在相应状况第一次出现时立即生效，而无论你是否想要这么做，在那之后触发术随即终止。
凭依法术的效应只能作用于你，哪怕它通常可以指定其他目标也无法再作指定。你同一时间只能使用一道触发术。如果你再次施展该法术，则你身上前一道触发术的效应立即终止。另外，当触发术的材料成分不在你身上时，你身上的触发术效应也将立即终止。</t>
  </si>
  <si>
    <t>Contingency</t>
  </si>
  <si>
    <t>唤起亡灵</t>
  </si>
  <si>
    <t>每具尸体一颗价值150+GP的缟玛瑙</t>
  </si>
  <si>
    <t>你只能在夜晚施展这道法术。选择施法距离内至多三具中型或小型类人生物尸体。每具尸体都会变为一只你控制下的食尸鬼Ghoul（数据见《怪物手册》）。
在每个你的回合用一个附赠动作，你能精神性地命令任何距你120尺内以此法术活化的生物（如果你操纵多个生物，则你的命令可以同时传达给它们中的任意成员，不过只能使用同一种命令）。你决定生物下回合使用何种动作并决定它们移动至何处，抑或你可以下达宽泛的命令，例如守护某个房间或某条走廊。没有接受到你命令的生物则只会采取回避 动作并只会为了避免受伤而移动。一旦被下达命令，该生物会持续执行命令直到任务完成。
你只能操纵生物24小时，在那之后它会拒绝执行你曾下达的任何命令。若你在当前的24小时时间段终止前再次施展此法术，则你对该生物的操纵时间再延长24小时。法术的此种用法只能延长你对至多三个你使用此法术所创造生物的控制时间，不会造出新的生物。
升环施法：使用七环法术位施展该法术时，你可以唤起并维持四只食尸鬼。使用八环法术位施展该法术时，你可以唤起并维持五只食尸鬼，也可以改为唤起并维持两只妖鬼Ghast，或两只尸妖Wight。当你使用九环法术位施展该法术时，你可以唤起并维持六只食尸鬼，也可以改为唤起并维持三只妖鬼，或三只尸妖，或两只木乃伊Mummy。生物的数据均见《怪物手册》。</t>
  </si>
  <si>
    <t>Create Undead</t>
  </si>
  <si>
    <t>解离术</t>
  </si>
  <si>
    <t>一块天然磁石和灰尘</t>
  </si>
  <si>
    <t>你向施法距离内一个你能看见的目标射出一道绿色射线。该目标可以是一名生物或一个非魔法物件，或者是魔法力场的造物（例如由力场墙Wall of Force创造的墙壁）。
目标生物必须进行一次敏捷豁免，豁免失败则受10d6+40点力场伤害，若目标生命值因此降至0，则目标连同其穿着和携带的非魔法物品一起化为灰尘。该生物只能通过完全复生术True Resurrection或祈愿术Wish复活。
此法术会直接解离大型或更小的非魔法物件或魔法力场造物。如果目标是巨型或更大的物件或魔法力场造物，则此法术会解离其10尺立方大小的部分。
升环施法效应。使用的法术位每比六环高一环，伤害就提高3d6。</t>
  </si>
  <si>
    <t>Disintegrate</t>
  </si>
  <si>
    <t>卓姆吉瞬间召唤</t>
  </si>
  <si>
    <t>一颗价值1000GP+的蓝宝石</t>
  </si>
  <si>
    <t>你触摸施展法术时使用的蓝宝石与一件最重不超过10磅，最长不超过6尺的物件。法术在物件上留下一个隐形的标记，也在蓝宝石上留下隐形的物件名称。你每次施展该法术时都必须使用不同的蓝宝石作为其材料成分。
在那之后，你可以用一个魔法动作唤出该物件的名称并粉碎这颗蓝宝石，该物件将无视任何距离和位面的限制立即出现在你的手上，法术随即终止。
如果另一个生物正持握或携带着该物件，则粉碎蓝宝石无法将该物品送过来。不过你会知晓是谁占有了该物品，以及其此刻身处何处。</t>
  </si>
  <si>
    <t>Drawmij's Instant Summons</t>
  </si>
  <si>
    <t>摄心目光</t>
  </si>
  <si>
    <r>
      <rPr>
        <sz val="11"/>
        <color theme="1"/>
        <rFont val="仿宋"/>
        <family val="3"/>
        <charset val="134"/>
      </rPr>
      <t>在法术持续时间内，你的眼睛变成漆黑虚空。一名你选择的，距离你60尺内且你可见的生物必须成功于进行一次感知豁免，否则将承受由你选择的下列效应之一直到法术结束。
在法术终止前你的每个回合内，你都可以使用一个魔法动作来指定另一个目标。不过你不能指定那些已经通过本次施展的该法术豁免的生物。
　　</t>
    </r>
    <r>
      <rPr>
        <sz val="11"/>
        <color theme="1"/>
        <rFont val="Arial"/>
        <family val="2"/>
      </rPr>
      <t>•</t>
    </r>
    <r>
      <rPr>
        <sz val="11"/>
        <color theme="1"/>
        <rFont val="仿宋"/>
        <family val="3"/>
        <charset val="134"/>
      </rPr>
      <t xml:space="preserve"> 沉睡Asleep。目标陷入昏迷状态。其在受到任何伤害，或另一个生物使用一个动作摇晃它时，即可再次醒来。
　　</t>
    </r>
    <r>
      <rPr>
        <sz val="11"/>
        <color theme="1"/>
        <rFont val="Arial"/>
        <family val="2"/>
      </rPr>
      <t>•</t>
    </r>
    <r>
      <rPr>
        <sz val="11"/>
        <color theme="1"/>
        <rFont val="仿宋"/>
        <family val="3"/>
        <charset val="134"/>
      </rPr>
      <t xml:space="preserve"> 惊慌Panicked。目标陷入恐慌状态，它必须在其每个自己的回合内执行疾走动作并移动，且以最短、最安全的路径尽可能的逃离你，直至其无路可逃为止。如果目标移至一处距你至少60尺远且看不见你的空间，则此效应终止。
　　</t>
    </r>
    <r>
      <rPr>
        <sz val="11"/>
        <color theme="1"/>
        <rFont val="Arial"/>
        <family val="2"/>
      </rPr>
      <t>•</t>
    </r>
    <r>
      <rPr>
        <sz val="11"/>
        <color theme="1"/>
        <rFont val="仿宋"/>
        <family val="3"/>
        <charset val="134"/>
      </rPr>
      <t xml:space="preserve"> 患病Sickened。目标陷入中毒状态。</t>
    </r>
  </si>
  <si>
    <t>Eyebite</t>
  </si>
  <si>
    <t>寻路术</t>
  </si>
  <si>
    <t>一套价值100GP+的预言道具、如纸牌或符文</t>
  </si>
  <si>
    <t>专注，至多1日</t>
  </si>
  <si>
    <t>你魔法性地感知到通往你所陈述地点的最直接的物理路径。你必须熟悉你所描述的地点，如果你寻找的目的地在另一存在位面，或者其会不断移动（例如一座移动堡垒），或者描述不够具体（例如“一条绿龙的巢穴”），则该法术失效。
你在法术持续时间内，只要和目的地在同一位面，就能够知晓目的地的远近和所在方向。向目的地移动并遇到岔路时，你会得知哪一条路能够最直接地通往目的地。</t>
  </si>
  <si>
    <t>Find the Path</t>
  </si>
  <si>
    <t>石化术</t>
  </si>
  <si>
    <t>一根鸡蛇兽羽毛</t>
  </si>
  <si>
    <t>你尝试将施法距离内一名你可见的生物变为石头。目标必须进行一次体质豁免。若豁免失败，则目标在法术持续时间内陷入束缚状态。若豁免成功，则目标的速度直至你的下个回合开始前变为0。构装生物进行此豁免时自动成功。
因该法术陷入束缚的生物必须在其每回合结束时再进行一次体质豁免。在累计三次豁免成功后，该法术终止。在累计三次豁免失败后，该生物被转化为石头并在法术持续时间内陷入石化状态。成功或失败的检定不需要连续；只要记录各情况的次数直至其中一方累计三次为止。
如果你为该法术维持的专注持续至法术最大持续时间，则该生物陷入的石化状态将持续至被一道高等复原术Greater Restoration或类似的魔法移除为止。</t>
  </si>
  <si>
    <t>Flesh to Stone</t>
  </si>
  <si>
    <t>禁制术</t>
  </si>
  <si>
    <t>10分钟或仪式</t>
  </si>
  <si>
    <t>价值1000GP+的红宝石尘</t>
  </si>
  <si>
    <t>1日</t>
  </si>
  <si>
    <t>你创造一个对抗魔法旅行的结界，该结界区域至多覆盖40000平方尺地面及其上30尺高的空间。在法术持续时间内，生物无法传送进区域内或使用传送门（如异界之门 gate法术创造的那种）进入其内。该法术使该区域无法进行位面旅行，因此生物无法通过星光位面Astral Plane，以太位面Ethereal Plane，妖精荒野Feywild，堕影冥界Shadowfell，或是通过位面转移plane shift 法术进入该区域。
此外，该法术可以对你在施法时所选定类别的生物造成伤害。从下列选项中选择一项或多项：异怪、天族、元素、妖精、邪魔、亡灵。所选定生物在一个回合内首次进入法术区域或者在其内结束回合时，将受到5d10点光耀伤害或黯蚀伤害（由你在施法时选择其一）。
施展该法术时，你可以设定一段密语。说出密语的生物即使进入区域也不会受到该法术的伤害。
该法术的效应区域不能与另一道禁制术的区域相重叠。如果你对同一区域连续30日每日施展禁制术，则其效应会持续至被解除，并在最后一次施法时将该法术的材料成分消耗殆尽。</t>
  </si>
  <si>
    <t>Forbiddance</t>
  </si>
  <si>
    <t>法术无效结界</t>
  </si>
  <si>
    <t>一颗玻璃珠</t>
  </si>
  <si>
    <t>一个固定的微光屏障在你周围10尺光环范围内出现并在法术持续时间内维持存在。
任何在屏障外施放的五环或更低环阶的法术无法影响其内的任何东西。此类法术能够以屏障内的生物或物件为目标，但无法对其生效。同样的，屏障内区域也将被排除在此类法术所创造的效应区域之外。
升环施法：使用的法术位每比六环高一环，屏障能阻挡的法术就高一环。</t>
  </si>
  <si>
    <t>Globe of Invulnerability</t>
  </si>
  <si>
    <t>铜墙铁壁</t>
  </si>
  <si>
    <t>一根10+GP的银权杖</t>
  </si>
  <si>
    <r>
      <rPr>
        <sz val="11"/>
        <color theme="1"/>
        <rFont val="仿宋"/>
        <family val="3"/>
        <charset val="134"/>
      </rPr>
      <t>你制造一个覆盖至多2500平方尺地面面积的受保护区域。保护区域至高可达20尺，并随你的意愿塑形为一个50尺的方形区域，或一百个相接的5尺方形区域，或二十五个相接的10尺方形区域。
施展该法术时，你可以指明特定个体以让其不受法术效应的影响。你还可以指明一句口令，当在保护区域5尺内并大声说出口令时，即可让说出口令的人对这些效应免疫。
法术在受保护区域内创造出下述效应。解除魔法Dispel Magic对铜墙铁壁本身没有效果，但下述每个效应都能被分别解除。如果所有四个效应均被解除，则本法术结束。如果你365日中每日均对同一区域施展该法术，此法术便会持续至其所有效应均被解除为止。
　　</t>
    </r>
    <r>
      <rPr>
        <sz val="11"/>
        <color theme="1"/>
        <rFont val="Arial"/>
        <family val="2"/>
      </rPr>
      <t>•</t>
    </r>
    <r>
      <rPr>
        <sz val="11"/>
        <color theme="1"/>
        <rFont val="仿宋"/>
        <family val="3"/>
        <charset val="134"/>
      </rPr>
      <t xml:space="preserve"> 过道Corridors。浓雾充斥受保护的过道使其处于重度遮蔽。此外，除你以外的生物在过道上遇到需要选择方向的岔路或交叉路口时，有50%概率误认错的方向为正确的前进方向。
　　</t>
    </r>
    <r>
      <rPr>
        <sz val="11"/>
        <color theme="1"/>
        <rFont val="Arial"/>
        <family val="2"/>
      </rPr>
      <t>•</t>
    </r>
    <r>
      <rPr>
        <sz val="11"/>
        <color theme="1"/>
        <rFont val="仿宋"/>
        <family val="3"/>
        <charset val="134"/>
      </rPr>
      <t xml:space="preserve"> 门Door。所有受保护区域内的门都被魔法性地锁住，如同被秘法锁Arcane Lock封上一般。此外，你还可以用一道幻象掩盖至多十扇门使其看起来有如普通墙面的一部分。
　　</t>
    </r>
    <r>
      <rPr>
        <sz val="11"/>
        <color theme="1"/>
        <rFont val="Arial"/>
        <family val="2"/>
      </rPr>
      <t>•</t>
    </r>
    <r>
      <rPr>
        <sz val="11"/>
        <color theme="1"/>
        <rFont val="仿宋"/>
        <family val="3"/>
        <charset val="134"/>
      </rPr>
      <t xml:space="preserve"> 楼梯Stairs。受保护区域内的楼梯从上到下布满了蛛网，如同受到蛛网术Web的效应一般。铜墙铁壁法术持续期间，这些蛛网即使被摧毁也可以在10分钟后再次生成。
其他法术效应Other Spell Effect。你可以在要塞的保护区域内布置你指定的下列魔法效应之一：
　　</t>
    </r>
    <r>
      <rPr>
        <sz val="11"/>
        <color theme="1"/>
        <rFont val="Arial"/>
        <family val="2"/>
      </rPr>
      <t>•</t>
    </r>
    <r>
      <rPr>
        <sz val="11"/>
        <color theme="1"/>
        <rFont val="仿宋"/>
        <family val="3"/>
        <charset val="134"/>
      </rPr>
      <t xml:space="preserve"> 在四条过道中布置舞光术Dancing Lights。你可以为光点其指定一个简单的程序，使其在铜墙铁壁持续期间重复此程序。
　　</t>
    </r>
    <r>
      <rPr>
        <sz val="11"/>
        <color theme="1"/>
        <rFont val="Arial"/>
        <family val="2"/>
      </rPr>
      <t>•</t>
    </r>
    <r>
      <rPr>
        <sz val="11"/>
        <color theme="1"/>
        <rFont val="仿宋"/>
        <family val="3"/>
        <charset val="134"/>
      </rPr>
      <t xml:space="preserve"> 在两个地点布置魔嘴术Magic Mouth。
　　</t>
    </r>
    <r>
      <rPr>
        <sz val="11"/>
        <color theme="1"/>
        <rFont val="Arial"/>
        <family val="2"/>
      </rPr>
      <t>•</t>
    </r>
    <r>
      <rPr>
        <sz val="11"/>
        <color theme="1"/>
        <rFont val="仿宋"/>
        <family val="3"/>
        <charset val="134"/>
      </rPr>
      <t xml:space="preserve"> 在两个地点布置臭云术Stinking Cloud（在铜墙铁壁法术持续期间，臭气即使被驱散也会在10分钟后重新聚集）
　　</t>
    </r>
    <r>
      <rPr>
        <sz val="11"/>
        <color theme="1"/>
        <rFont val="Arial"/>
        <family val="2"/>
      </rPr>
      <t>•</t>
    </r>
    <r>
      <rPr>
        <sz val="11"/>
        <color theme="1"/>
        <rFont val="仿宋"/>
        <family val="3"/>
        <charset val="134"/>
      </rPr>
      <t xml:space="preserve"> 在一条过道或一个房间中布置一道造风术Gust of Wind（法术持续期间，风会一直吹）
　　</t>
    </r>
    <r>
      <rPr>
        <sz val="11"/>
        <color theme="1"/>
        <rFont val="Arial"/>
        <family val="2"/>
      </rPr>
      <t>•</t>
    </r>
    <r>
      <rPr>
        <sz val="11"/>
        <color theme="1"/>
        <rFont val="仿宋"/>
        <family val="3"/>
        <charset val="134"/>
      </rPr>
      <t xml:space="preserve"> 在一个至多5尺的方形区域布置一道暗示术Suggestion。任何进入该区域的生物将通过精神受到法术的暗示。</t>
    </r>
  </si>
  <si>
    <t>Guards and Wards</t>
  </si>
  <si>
    <t>重伤术</t>
  </si>
  <si>
    <t>你对施法距离内一个你可见的生物降下恶毒致命的魔法。目标必须通过一次体质豁免，豁免失败将受到14d6点暗蚀伤害，并且它的生命值上限会降低等同它所受暗蚀伤害数值点。豁免成功则仅受到一半伤害。此法术不能将目标的生命值上限降至1以下。</t>
  </si>
  <si>
    <t>Harm</t>
  </si>
  <si>
    <t>医疗术</t>
  </si>
  <si>
    <t>指定施法距离内一个你能看见的生物。汹涌澎湃的正能量将充盈该生物，使其恢复 70 点生命值。该法术也会终止正在影响目标的目盲、耳聋以及中毒状态。
升环施法： 使用的法术位每比六环高一环，此法术的治疗量就增加10点。</t>
  </si>
  <si>
    <t>Heal</t>
  </si>
  <si>
    <t>英雄宴</t>
  </si>
  <si>
    <t>一个价值1000GP+的镶饰宝石的碗，作为法术耗材</t>
  </si>
  <si>
    <t>你咒唤一场盛宴出现在你周围地面上未被占据的10尺立方空间。盛宴需要1小时来享用，并会在这段时间结束后消失不见，而且下述增益效应在这1小时结束前不会生效。你可以让至多十二个生物一同分享盛宴。
所有享用了大餐的生物都会获得几种增益。这些生物获得毒素伤害的抗性、中毒状态免疫与恐慌状态免疫，他们的生命值上限也将提高2d10点（并获得等量的生命值）。这些增益将持续 24 小时。</t>
  </si>
  <si>
    <t>Heroes' Feast</t>
  </si>
  <si>
    <t>魔魂壶</t>
  </si>
  <si>
    <t>一块宝石或水晶、或者一个圣物匣、其价值不能低于500GP</t>
  </si>
  <si>
    <t>你的灵魂离开身体进入作为法术材料成分的容器中，而你的身体则陷入失神的状况。灵魂处于容器中时，你可以如同身处容器所在位置一样察觉周边。你不能移动，也不能使用反应，而此时你唯一能做的动作就是将你的灵魂投射出容器至多100 尺的距离，回到你仍活着的身体中去（并终止该法术），或者尝试占据另一个类人生物的身体。
你可以尝试附身于任何距你100尺内你能看见的类人生物（受法术防护善恶Protection from Evil或防护法阵Magic Cricle所保护的生物无法被附身）。该目标必须进行一次魅力豁免。豁免失败，则你的灵魂进入目标的身体，而目标的灵魂被困在容器中；豁免成功，则目标抵抗了你的附身，而随后的 24 小时内你将无法再次尝试附身该生物。
附身成功后，目标生物的身体将由你控制。你的生命值、生命骰、力量、敏捷、体质、速度和感官替换为目标生物的数据，此外将保留你的游戏数据。
附身期间，被附身生物的灵魂可以用它自己的感官从容器内部观察外部，但它不能移动且陷入失能状态。
附身于一具躯体时，如果容器处在你身边 100 尺内，则你可以用一个魔法动作从宿主的身体回到容器中，并让宿主的灵魂回到它自己的身体里。在你处于宿主的身体中时，如果宿主的身体死亡，则宿主生物死亡，且你必须进行一次对抗该法术豁免 DC 的魅力豁免。豁免成功且容器距你不超过 100 尺时，你回归容器内。否则你也随之死亡。
如果容器被毁或者法术终止，则你的灵魂会立即回到你自己身体里。如果你在尝试回到自己身体时，身体距你超过 100 尺或者你的身体已死，则你也随之死亡。如果容器被毁时另一生物的灵魂在容器内，且该生物的身体仍然活着并距它不超过 100 尺，则其灵魂会回到身体里。否则该生物死亡。
该法术终止时，其容器将随之被摧毁。</t>
  </si>
  <si>
    <t>Magic Jar</t>
  </si>
  <si>
    <t>群体暗示术</t>
  </si>
  <si>
    <t>一条蛇的舌头</t>
  </si>
  <si>
    <t>你以魔法影响施法距离内至多十二个你能看见的生物，并对其施以某种行动暗示（至多以25个字的形式）。你指定的受术目标必须能听到并理解你的话语。你的暗示言辞必须是听起来可实现的，且不涉及任何伤害目标或其盟友的内容。例如，你可以说”沿那条路走到村子，并帮那儿的村民收庄稼直到日落。”或者你可以说“现在不是打架的时候。放下你们的武器，跳舞吧！跳上一个小时。”
每个目标必须进行一次感知豁免，豁免失败者将陷入魅惑状态，直到法术持续时间结束为止，如果你或你的盟友对其造成伤害时此状态将提前结束。每个受魅惑的目标将尽其所能地从事你所暗示的行为。暗示的行为可能会在整个法术持续时间内持续进行；而如果你所暗示的活动可以用更短的时间完成，则在完成了活动的目标身上该法术提前终止。
你也可以描述一种在持续时间内发生的特定状况，作为触发特殊行为的条件。例如，你可以暗示一队士兵将所有的钱交给他们遇到的第一个乞丐。如果在法术终止前条件始终没有满足，则指定的行为不会被执行。
如果你或你同伴中的任何人伤害了一个被该法术影响的生物，则该法术对该生物产生的效应随之终止。
升环施法：使用的法术位高于六环时，法术的持续时间增加，七环为10日，八环为30日，九环为366日。</t>
  </si>
  <si>
    <t>Mass Suggestion</t>
  </si>
  <si>
    <t>地动术</t>
  </si>
  <si>
    <t>一个微缩模型的铲子</t>
  </si>
  <si>
    <t>专注，至多2小时</t>
  </si>
  <si>
    <t>指定施法距离内一处在任何方向上都不超过40 尺的地形区域，在法术持续时间内，你可以随意重塑区域内的泥土，沙土或黏土。你可以升高或降低区域内的地面高度，制造或填平一道沟渠，竖起或夷平一道屏障，或是形成一根立柱。上述任何改造的地形范围不得超过整个区域最大边长的一半。例如，如果你影响了 40 尺立方区域，则你可以创造一根至多20尺高的立柱，将地面升高或降低至多 20 尺，挖一条至多 20 尺深的壕沟，等等。这些改变一共需要花10分钟的时间来完成。由于地形的变化发生得很缓慢，区域内的生物通常不会被地面的移动困住或者受伤。
每为法术维持10分钟专注，你都可以选择一片新的地形区域再施以影响。
该法术无法改变天然的岩石或石制建筑。但石头和建筑仍会因适应地形的变化而被改变。如果你改变地形的方式会使得建筑不稳定，则它有可能倒塌。
类似地，该法术也无法直接影响植物生长。而被移走的泥土会带走任何生长在其上的植物。</t>
  </si>
  <si>
    <t>Move Earth</t>
  </si>
  <si>
    <t>欧提路克冰封法球</t>
  </si>
  <si>
    <t>一颗微缩水晶球</t>
  </si>
  <si>
    <t>一颗冰球从你的指尖射向施法距离内你指定的一点，并在该处迸裂为一个半径60尺的球状区域。区域内的每个生物必须进行一次体质豁免。豁免失败者受到10d6点寒冷伤害，豁免成功则只受一半伤害。
如果冰球击中某处水体，水面将在边长30尺的方形区域内凝结出6寸厚的坚冰。任何在其表面上游泳的生物将被冰面所困，陷入束缚状态。受困的生物可以用一个动作进行一次对抗你的法术豁免DC的力量（运动）检定以破冰挣脱。
你可以在施法完毕后不发射冰球。此时你手上将出现一枚投石索子弹大小的触感冰冷的小冰球。你可以选择将冰球交给任意一名生物。持有冰球的生物可以将冰球投出去（射程至多为40尺）或者用投石索将其弹射出去（射程至多为投石索的常规射程）。冰球将在撞击时破碎，产生与正常施法时相同的效应。你还可以将冰球放下而不直接打破它。冰球若在1分钟后仍未被打破，它将自动爆炸。
升环施法：使用的法术位每比六环高一环，其伤害就增加1d6。</t>
  </si>
  <si>
    <t>Otiluke's Freezing Sphere</t>
  </si>
  <si>
    <t>奥图迷舞</t>
  </si>
  <si>
    <t>一名施法距离内你可见的生物必须进行一次感知豁免，豁免成功则目标直到其下个回合结束为止会跳起滑稽的舞蹈，在此期间其必须消耗所有的移动力在原地跳舞。
若豁免失败，目标将在法术持续时间内陷入魅惑状态。处于魅惑状态期间，目标会跳起滑稽的舞蹈，必须使用所有的移动力在原地跳舞，并且进行的敏捷豁免与攻击检定具有劣势，且其他生物以该生物为目标发动的攻击检定具有优势。在目标的每个自己的回合，它可以用一个动作尝试使自己镇定下来并重复豁免，豁免成功则其身上的法术终止。</t>
  </si>
  <si>
    <t>Otto's Irresistible Dance</t>
  </si>
  <si>
    <t>异界誓盟</t>
  </si>
  <si>
    <t>你祈求一名异界实体的援助。你必须对该存在有所了解，它可以是一位神祇，一名恶魔主君，或是其他拥有宇宙级伟力的存在。该实体将派遣一名效忠它的天族生物，元素生物或邪魔生物来援助你，并使该生物显现在施法距离内一处未占空间。如果你知道某个特定生物的名字，则你可以在施展法术时说出其名字来请求指派该生物来援，但是你仍然有可能得到一名不同的生物（由DM选择）。
该生物出现时，它并未被强迫做任何事。你可以用报酬为交换，请求其提供服务，但它并没有为你实现请求的义务。请求的任务可以简单（帮我们飞越峡谷，或协助我们进行一场战斗），也可以复杂（暗中监视我们的敌人，或在我们扫荡地城时保护我们）。你必须能与该生物交流从而为其服务讨价还价。
报酬的形式各式各样。一名天族可能会要求为一座同盟的神殿捐献一份相当可观的金币或魔法物品，而一只邪魔可能会索要一次活祭或一份财宝作为礼物。一些生物可能会要求你进行一个任务来换取它们的服务。
一个可以按分钟计算的任务需要每分钟100GP的报酬。一个可以按小时计算的任务需要每小时1000GP的报酬。一个可以按日计算的任务（至多10日）需要每日10000GP 的报酬。DM可以按你施展该法术时的具体情况调整报酬。如果任务与生物的行为准则一致，则其可能只会索取一半报酬甚至不收取报酬。没有风险的任务一般只需要建议报酬的一半，而特别危险的任务可能会需要更大的赠礼。生物极少接受看上去像自杀的任务。
生物完成任务后，或当提前商定的服务时间结束后，生物会在情况允许时回来向你报告，然后再返回自己的家乡位面。如果你不能就生物的服务价格与之达成共识，该生物将立即返回其家乡位面。</t>
  </si>
  <si>
    <t>Planar Ally</t>
  </si>
  <si>
    <t>预置幻象</t>
  </si>
  <si>
    <t>价值25GP+的翡翠尘</t>
  </si>
  <si>
    <t>你在施法距离内创造一个物件，一名生物，或是其他可视现象的幻象，此幻象在满足特定触发条件时会被激活。该幻象在被激活前无法被察觉。幻象必须不大于30尺立方，且由你决定幻术如何行动和发声。这种按脚本执行的表演可以持续至多5分钟。
当你指定的触发条件发生时，幻象会迅速成型，并以你设定的方式运作。幻术终止运作之后，它消失并休眠10分钟，在休眠结束之后幻象便可再次被激活。
触发条件可以宽泛也可以按你喜好进行细化，但必须是发生在距幻象区域30尺内的能看到或听到的现象。例如，你可以制造一个自己的幻象，在其他人试图打开一扇卡住的门时出现并发出警告。
由于东西可以穿过幻象，任何与该幻象进行的物理互动都会暴露其幻觉本质。一名生物可以用一个研究动作进行一次对抗你法术豁免DC的成功智力（调查）检定以看穿幻象。辨出幻象的生物可以看穿该影像，其产生的声响对该生物而言显得虚假。</t>
  </si>
  <si>
    <t>Programmed Illusion</t>
  </si>
  <si>
    <t>邪魔召唤术</t>
  </si>
  <si>
    <t>一小瓶价值600GP+的的血</t>
  </si>
  <si>
    <t>你唤来一个邪魔灵魄。其使用下文邪魔灵魄的数据，并会在施法距离内一处你可见的未被占据的空间中显现。当你施展法术时，从魔鬼，恶魔，尤格罗斯魔中选择一类，该生物会显现为你所选的那类邪魔中的一员，其数据中的部分特性也受此影响。该生物会在生命值降为0或是法术结束时消失。
该生物是你的盟友（对你的其它盟友亦是如此）。它在战斗中使用你的先攻，并在你回合结束后立即行动。它遵从于你的口头指令（无需任何动作）。如果你不发令，它将执行回避动作并远离危险。
升环施法：该生物的数据使用新的法术环阶。
邪魔灵魄Fiendish Spirit 
大型邪魔，绝对中立
AC 12+法术环阶
HP 50（仅恶魔）或40（仅魔鬼）或60（仅尤格罗斯魔）+每比6环高的法术环阶15点
速度40尺；攀爬40尺（仅恶魔）；飞行60尺（仅魔鬼）
力量13|+1|+1 敏捷16|+3|+3 体质15|+2|+2
智力10|+0|+0 感知10|+0|+0 魅力16|+3|+3
抗性：火焰
免疫：毒素；中毒
感官：黑暗视觉60尺，被动察觉10
语言：深渊语，炼狱语，心灵感应60尺
CR无（XP0；PB等于你的熟练加值）
特质Traits
焚身爆Death Throes（仅恶魔）。当灵魄生命值降值0时，或是法术结束时，灵魄会爆炸。敏捷豁免：DC等于你的法术豁免DC，以灵魄为源点10尺光环区域内的每个生物。失败：2d10+法术环阶的火焰伤害。成功：半伤。
魔鬼视界Devil‘s Sight（仅魔鬼）。魔法黑暗不会阻碍灵魄的黑暗视觉。
魔法抗性Magical Resistance。灵魄为抵抗法术和其他魔法效应而作的豁免检定具有优势。
动作Actions
多重攻击Multiattack。灵魄发动等于法术环阶一半次数的攻击（向下取整）。
啃咬Bite（仅恶魔）。近战攻击检定：加值等于你的法术攻击加值，触及5尺。命中：1d12+3+法术环阶的暗蚀伤害。
爪击Claws（仅尤格罗斯魔）。近战攻击检定：加值等于你的法术攻击加值，触及5尺。命中：1d8+3+法术环阶的挥砍伤害。不论是否命中，那之后灵魄可以立即魔法性地传送至多30尺至一处它可见且未被占据的空间。
狂焰袭Fiery Strike（仅魔鬼）。近战或远程攻击：加值等于你的法术攻击加值，触及5尺或射程150尺。命中：2d6+3+法术环阶的火焰伤害。</t>
  </si>
  <si>
    <t>Summon Fiend</t>
  </si>
  <si>
    <t>阳炎射线</t>
  </si>
  <si>
    <t>一面放大镜</t>
  </si>
  <si>
    <t>一道阳炎射线从你手中射出并形成一条5尺宽、60尺长的线状区域。所有区域内的生物必须进行一次体质豁免。豁免失败者将受到6d8点光耀伤害，并且在你的下一回合前陷入目盲状态。豁免成功则伤害减半，且不会陷入目盲。
你可以在法术终止前的任一回合内以一个魔法动作重新创造一道线状光芒。
在法术持续时间内，你的手中一点散发出耀眼的光芒。其光耀为周围提供 30 尺的明亮光照，以及该范围外 30 尺的微光光照。这些光芒均视为等同于阳光。</t>
  </si>
  <si>
    <t>Sunbeam</t>
  </si>
  <si>
    <t>塔莎泡泡坩埚</t>
  </si>
  <si>
    <t>5尺</t>
  </si>
  <si>
    <t>一支价值500GP+的镀金长柄勺</t>
  </si>
  <si>
    <t>你咒唤一口充满冒泡液体的爪足大锅。大锅出现在距你5尺内地面上的一处未占空间内且持续存在至法术终止。大锅不能被移动，且在法术结束时与其内的冒泡液体一同消失。
大锅中的液体会复制一种你选择的稀有度为普通或非普通药剂（如一瓶治疗药水Potion of Healing）的词条。用一个附赠动作，你或一名盟友可以从大锅中捞出上述你所选择的一种药水。药水会被装在一个小瓶中，且小瓶会在药水被消耗后消失。大锅能产生药水的瓶数等同于你的施法属性调整值（最小为1）。从大锅中取出最后一瓶药水后，大锅消失，法术终止。
从大锅中取出的药水若在你再次施展此法术时未被消耗，则药水会消失。</t>
  </si>
  <si>
    <t>Tasha's Bubbling Cauldron</t>
  </si>
  <si>
    <t>木遁术</t>
  </si>
  <si>
    <t>该法术在施法距离内一棵体型不超过大型的未活化植物与同位面上任意距离外的另一棵植物之间创造一道魔法连接。施法时，你必须见过或触碰过出口植物至少一次。在持续时间内，任何生物都可以花费5尺移动力进入目标植物内，然后从出口植物处出来。</t>
  </si>
  <si>
    <t>Transport via Plants</t>
  </si>
  <si>
    <t>真知术</t>
  </si>
  <si>
    <t>价值25GP+的蘑菇粉，作为法术耗材</t>
  </si>
  <si>
    <t>法术持续时间内，你触碰的自愿生物具有120尺真实视觉。</t>
  </si>
  <si>
    <t>True Seeing</t>
  </si>
  <si>
    <t>冰墙术</t>
  </si>
  <si>
    <t>一块石英</t>
  </si>
  <si>
    <t>你在施法距离内一块坚实的地面上创造出一面冰墙。你可以将它塑成半球状或球状（半径最长10尺），也可以塑成一个由十个10尺×10尺的方板块构成的平面。每块板块都必须要和至少一块其他板块相连。不管形状如何，冰墙总是厚1尺并持续存在至法术终止。
如果冰墙形成时穿过了某生物所占据的空间，则该生物会被推到冰墙的一侧（由你来决定是哪一侧）且必须进行一次敏捷豁免。豁免失败，受到10d6点冷冻伤害。豁免成功，则只受一半伤害。
作为一个物件，冰墙可以因受到伤害而被打破。冰墙的AC为12，每段10尺长的冰墙有30点生命值，而且冰墙具有寒冷、毒素和心灵伤害的免疫，以及火焰伤害的易伤。当一段10尺长的冰墙的生命值降至0时，这段冰墙就会被摧毁，但原地会留下一片冰冷刺骨的空气。
生物在一个回合内第一次通过这片寒气时，必须进行一次体质豁免。豁免失败，受到5d6点冷冻伤害。豁免成功，则只受一半伤害。
升环施法：使用的法术位每比六环高一环，冰墙产生时造成的伤害就提高2d6，穿越冰冷刺骨的空气造成的伤害就增加1d6。</t>
  </si>
  <si>
    <t>Wall of Ice</t>
  </si>
  <si>
    <t>棘墙术</t>
  </si>
  <si>
    <t>一把荆棘</t>
  </si>
  <si>
    <t>你创造出一面坚韧、纠缠、长满锐利棘刺的灌木之墙。棘墙出现在施法距离内一处固体表面上并且持续存在至法术终止。你可以选择创造长不过60尺、高不过10尺、厚不过5尺的直墙；或是直径不过20尺、高不过20尺、厚不过5尺的环形墙。此外，棘墙还会阻挡视线。
棘墙出现时所有位于其内的生物要进行一次敏捷豁免。豁免失败，受到7d8点穿刺伤害。豁免成功，则只受一半伤害。
生物可以移动穿过棘墙，但这是个十分缓慢且痛苦的过程。生物在棘墙中每移动 1 尺要消耗 4 尺的移动力。另外，生物在一个回合内首次进入棘墙或在棘墙所占据的区域内结束其回合时，必须进行一次敏捷豁免。豁免失败，受到7d8点挥砍伤害。豁免成功，则只受一半伤害。一名生物一回合只进行一次此豁免。
升环施法：使用的法术位每比六环高一环，造成的伤害就提高1d8。</t>
  </si>
  <si>
    <t>Wall of Thorns</t>
  </si>
  <si>
    <t>御风而行</t>
  </si>
  <si>
    <t>一根蜡烛</t>
  </si>
  <si>
    <t>你和施法距离内你能看见的至多十个自愿生物在法术持续时间内变为气化形态，其外观有如一团云雾。处于该云雾形态的生物具有 300 尺的飞行速度且能够悬浮，免疫倒地状态，并且具有钝击、挥砍、穿刺伤害的抗性。该形态下的生物除疾走和使用魔法动作变回原形以外不能执行其他动作。变回原形需要花1分钟的时间，在这段时间内该生物处于震慑状态。在法术终止前，该生物还可以再次变成云雾形态，而再次使用魔法 动作进行变形同样要花1分钟时间。
如果法术终止时受术目标正以云雾形态飞行，则该目标将在1分钟内以每轮60尺的速度降落直至安全着陆。如果该生物降落1分钟后还没着陆，则在余下的距离中它将会如正常情况一样坠落。</t>
  </si>
  <si>
    <t>Wind Walk</t>
  </si>
  <si>
    <t>回返真言</t>
  </si>
  <si>
    <t>你和你身边5尺内的至多五个自愿生物一起瞬间传送到一个你事先设置好的圣殿。你和与你一起传送的生物将出现在你准备圣殿时指定的地点（见下）旁边最近的未被占据位置。如果你在施放法术前没有事先准备好圣殿，则该法术将不产生任何效应。
你必须指定一处地方（例如一座寺庙），在那里施放法术以将其设为圣殿。</t>
  </si>
  <si>
    <t>Word of Recall</t>
  </si>
  <si>
    <t>咒唤圣光</t>
  </si>
  <si>
    <r>
      <rPr>
        <sz val="11"/>
        <color theme="1"/>
        <rFont val="仿宋"/>
        <family val="3"/>
        <charset val="134"/>
      </rPr>
      <t>你将来自上层位面的精魂咒唤，精魂表现为照耀以施法距离内一点为中心半径10尺、高40尺的柱状区域的光之立柱。对位于柱状区域内的你可见的生物，分别选择下列哪种光芒照耀于它。
　　</t>
    </r>
    <r>
      <rPr>
        <sz val="11"/>
        <color theme="1"/>
        <rFont val="Arial"/>
        <family val="2"/>
      </rPr>
      <t>•</t>
    </r>
    <r>
      <rPr>
        <sz val="11"/>
        <color theme="1"/>
        <rFont val="仿宋"/>
        <family val="3"/>
        <charset val="134"/>
      </rPr>
      <t xml:space="preserve"> 治愈之光Healing Light。目标恢复等于 4d12+你的施法属性调整值 点的生命值。
　　</t>
    </r>
    <r>
      <rPr>
        <sz val="11"/>
        <color theme="1"/>
        <rFont val="Arial"/>
        <family val="2"/>
      </rPr>
      <t>•</t>
    </r>
    <r>
      <rPr>
        <sz val="11"/>
        <color theme="1"/>
        <rFont val="仿宋"/>
        <family val="3"/>
        <charset val="134"/>
      </rPr>
      <t xml:space="preserve"> 惩戒之光Searing Light。目标进行一次敏捷豁免检定，豁免失败者将受到6d12的光耀伤害，豁免成功则只受一半伤害。
直到法术结束为止，柱状区域内处于明亮光照，并且当你在你的回合移动时，你可以令柱状区域也移动至多30尺
每当柱状区域在移动中进入了一名你可见的生物区域内时、一名你可见的生物进入柱状区域或是在该区域结束其回合时，你都可以令该生物沐浴其中一种光芒。一名生物一回合只能被该法术影响一次。
升环施法：使用的法术位每比七环高一环，法术产生的治疗和造成的伤害就增加1d12。</t>
    </r>
  </si>
  <si>
    <t>Conjure Celestial</t>
  </si>
  <si>
    <t>延迟爆裂火球</t>
  </si>
  <si>
    <t>一束黄光从你的指尖射向施法距离内你指定的一点，并在法术持续时间内在该点凝结成一颗珠子。法术终止时，珠子将伴着低吼炸裂成四窜的烈焰，位于目标点半径20尺球状区域内的每名生物都必须进行一次敏捷豁免。豁免失败者将承受全部累积的火焰伤害，豁免成功则只受到一半伤害。
该法术的基础伤害为12d6，且若在你回合结束时法术尚未终止，则其伤害增加1d6。
如果珠子爆炸前被生物触碰到，则该生物必须进行一次敏捷豁免。豁免失败则法术立即终止并触发爆炸效应。豁免成功则该生物可将珠子抛开至多40尺。当珠子进入一名生物的空间或撞到某个固态物件时，法术立即终止并且触发爆炸效应。
珠子爆炸时，区域内未被着装或携带的可燃物件会开始燃烧。
升环施法：使用的法术位每比七环高一环，基础伤害就提高1d6点。</t>
  </si>
  <si>
    <t>Delayed Blast Fireball</t>
  </si>
  <si>
    <t>圣言术</t>
  </si>
  <si>
    <t xml:space="preserve">你吟诵一句充盈上层位面Upper Planes力量的箴言。施法距离内所有由你指定的生物都必须进行一次魅力豁免。豁免失败者，若其生命值低于50，则基于其当前生命值承受以下效应，如圣言效应表中所示。无论其生命值如何，失败于豁免的天族生物、元素生物、妖精生物、邪魔生物均会被遣送回其起源位面（若其并不在其起源位面）并且除非通过祈愿术Wish ，否则其在24小时内不能以任何方式返回当前位面。
圣言效应Divine Word Effects 生命值 效应 
0~20 目标死亡。 
21~30 目标陷入目盲、耳聋、震慑状态，持续1小时。 
31~40 目标陷入目盲、耳聋状态，持续10分钟。 
41~50 目标陷入耳聋状态，持续1分钟。 </t>
  </si>
  <si>
    <t>Divine Word</t>
  </si>
  <si>
    <t>以太化</t>
  </si>
  <si>
    <t>至多8小时</t>
  </si>
  <si>
    <t>你进入当前所处位面与以太位面Ethereal Plane边缘的重叠空间。你在法术持续时间内一直呆在该以太边界Border Ethereal 。在此期间，你可以向任意方向移动。如果你向上或向下移动，则你移动的每尺距离需要额外消耗一尺的移动力。你可以观察原位面，但是所有事物都以灰度显示，而你也看不到60尺外的东西。
处于以太位面期间，只有同样处在以太位面的其他生物、物件和效应才能被你影响或影响你。不在以太位面的生物无法察觉你，也无法与你互动，除非有一项特性允许他们这么做。
法术终止时，你立刻回到原本所在的位面中与以太边界中你所处位置相对应的空间位置。若你出现于一处被占空间，则你立刻被弹到最靠近的一处未占空间中，并受到两倍于你因此被移动尺数点的力场伤害。
如果你在施展法术时正处于以太位面，或所在位面与以太位面不相连（比如某个外层位面Outer Plane ），则法术立即结束。
升环施法：使用八环施展此法术时，你可以指定至多三名自愿生物（包括你在内）；使用九环时，你可以指定至多六名自愿生物（包括你在内）。所有所选生物在你施法时必须距你10尺内。</t>
  </si>
  <si>
    <t>Etherealness</t>
  </si>
  <si>
    <t>死亡一指</t>
  </si>
  <si>
    <t>你向施法距离内的一个可见生物释放负能量。该生物必须进行一次体质豁免。豁免失败则受到7d8+30点暗蚀伤害，豁免成功则伤害减半。
被该法术杀死的类人生物将在你下一回合开始时被唤起为一只受你操控的丧尸Zombie（见附录B），并在随后尽力遵循你的口头指令。</t>
  </si>
  <si>
    <t>Finger of Death</t>
  </si>
  <si>
    <t>火焰风暴</t>
  </si>
  <si>
    <t>一片烈焰风暴出现在施法距离内。风暴的区域由至多十个10尺立方区域组成。你可以自行安排各立方区域的组合方式。每个立方区域必须至少与一个其他的立方区域相连。区域内每个生物必须进行一次敏捷豁免。豁免失败者将受到7d10点火焰伤害，豁免成功则伤害减半。
区域内所有未被着装或携带的可燃物件会开始燃烧。</t>
  </si>
  <si>
    <t>Fire Storm</t>
  </si>
  <si>
    <t>力场监牢</t>
  </si>
  <si>
    <t>100尺</t>
  </si>
  <si>
    <t>价值1500GP+的红宝石尘，作为法术耗材</t>
  </si>
  <si>
    <t>你围绕施法距离内一处指定地点力场构筑出一个固定的立方状隐形Invisible监牢。你可以选择监牢的形式为笼状或盒状。
笼状监牢为各边长至多20尺的立方体，其墙体由1/2寸粗的力场栅栏杆组成，每根杆子之间相距1/2寸。盒状监牢为各边长至多10尺的立方体，其墙体为由力场墙密封，并阻隔一切物质进出，也会阻挡任何从区域中向外界施展或从外界向区域中施展的法术。
施展该法术时，所有完全在法术区域内的生物将被牢笼困住。部分处于区域内或者体型比区域更大的生物则被从区域中心向外推开，直至其完全离开该区域。
牢笼内的生物不能以非魔法的手段离开。如果该生物试图使用传送或跨位面旅行来离开牢笼，则其必须先进行一次魅力豁免。豁免成功则该生物可以用该魔法离开牢笼。豁免失败者将无法以此离开牢笼并浪费掉该法术或效应。该牢笼同时延伸至以太位面Ethereal Plane 从而屏蔽途经以太位面的旅行。
该法术不能被解除魔法Dispel Magic 解除。</t>
  </si>
  <si>
    <t>Forcecage</t>
  </si>
  <si>
    <t>海市蜃楼</t>
  </si>
  <si>
    <t>视野</t>
  </si>
  <si>
    <t>你使至多 1 里方形区域内的地形在视觉、听觉、嗅觉、甚至触觉上都像是某种其它的地形，不过其地形的大致形状仍保持不变。你可以让开阔的平原或者一条路可能变得像一片湿地，一座小山，一个裂谷或是其它困难或无法通行的地形。你还可以让一个池塘变得像一片茂盛的草地，一个悬崖变得像一个缓坡，或者让一个乱石沟变得像一条宽阔平坦的大路。
另外，你还可以改变建筑物的外观，或者在本来没有建筑物的地方添上建筑物。该法术不可以伪装、隐藏或增添生物。
该幻术是听觉、视觉、触觉和嗅觉的综合体，因而其可以把空旷的地面变成困难地形（反之亦然），乃至阻碍区域内的通行。幻象地形的任何一小部分（例如一块石头或者一根树枝）被移动到法术区域外时都会立刻消失不见。
拥有真实视觉的生物可以看穿幻术，洞悉地形的真实形态；然而幻象的所有其它元素仍会得以保留，所以一个意识到这是幻象的生物仍然可以与该幻象进行物理互动。</t>
  </si>
  <si>
    <t>Mirage Arcane</t>
  </si>
  <si>
    <t>魔邓肯豪宅术</t>
  </si>
  <si>
    <t>一个价值15GP+的微缩模型门</t>
  </si>
  <si>
    <t>你在施法距离内召唤一扇微微发光的门，并维持至法术持续时间结束。门宽5尺，高10尺，指向一个异次元居所。只要该门保持开启，你和你施展该法术时指定的任意生物都可以进入该异次元居所中。你可以在距该门不超过 30 尺处开启或关闭之（无需动作）。门在关闭状态下其无法被发现。
门的另一侧是一个连接着众多房间的华丽大厅。整个居所的空气洁净清新而温暖舒适。
你可以随意创造自己喜欢的房间构造，但不得超出50个相连的边长10尺的立方体。空间内依你喜好配置好家具和装饰，其内储备的食材足以制作供至多100人享用的九菜大宴。由该法术创造的家具和其他物品如果被移出豪宅，就会化作烟雾消散。
一组共100名的近乎透明的仆从会招待任何进入房间的人。仆从的外貌着装由你决定，它们无法受伤并服从你的命令。每个仆从都可以完成一个普通人程度的工作，但它们不能攻击或者进行任何直接伤害其他生物的行动。因而仆从可以完成的工作包括：取来物品、清洁、修理、叠衣服、生火、上菜、倒酒等等。仆从不能离开该居所。
该法术终止时，任何仍处于该异次元空间内的生物或物件都将被移出空间内，并出现在距离入口最近未被占据的空间内。</t>
  </si>
  <si>
    <t>Mordenkainen's Magnificent Mansion</t>
  </si>
  <si>
    <t>魔邓肯之剑</t>
  </si>
  <si>
    <t>一把价值250GP+的微缩模型剑</t>
  </si>
  <si>
    <t>你在施法距离内创造出一个悬浮的灵体剑刃，其在法术持续时间内持续存在。
幽灵剑出现时，你可以对该剑 5 尺内的一个目标进行一次近战法术攻击。命中时，目标受到 4d12+你的施法属性调整值 点力场伤害。 
在你的后续回合内，你能够以一个附赠动作将剑移动至多30尺至一处可见位置。随后你可以对相同或不同目标再次发动该攻击。</t>
  </si>
  <si>
    <t>Mordenkainen's Sword</t>
  </si>
  <si>
    <t>位面转移</t>
  </si>
  <si>
    <t>一根与一个存在位面调谐的价值250GP+的分叉金属棒</t>
  </si>
  <si>
    <t>你和至多八名手牵着手形成一个圆圈的自愿生物被输送到一个不同的存在位面。你可以概括地指名一个目的地，比如火元素位面Plane of Fire的黄铜之城City of Brass，或九层地狱Nine Hells第二层迪斯帕特Dispater 的宫殿，按照DM的判断，你将出现在目的地里或其附近。
另外，如果你知道某个处于另一位面的传送法阵的印记序列，则该法术可以把你带到该法阵处。如果该传送法阵太小而装不下所有你输送的生物，则他们会出现在离传送法阵最近的未占据空间中。</t>
  </si>
  <si>
    <t>Plane Shift</t>
  </si>
  <si>
    <t>律令巩固</t>
  </si>
  <si>
    <t>你增强施法距离内你可见的至多六名生物的防御。此法术赋予受术者共计120点临时生命值 ，由你在受术者中任意分配。</t>
  </si>
  <si>
    <t>Power Word Fortify</t>
  </si>
  <si>
    <t>虹光喷射</t>
  </si>
  <si>
    <t xml:space="preserve">八条光线从你的手上闪出，作用于60尺锥形范围。每名位于锥形之中的生物进行一次敏捷豁免。为每个目标掷一次1d8来决定影响到它的射线种类，参照虹光射线表。
虹光射线Prismatic Rays 
1d8 射线 
1 红Red。豁免失败：12d6点火焰伤害。豁免成功：半伤。 
2 橙Orange。豁免失败：12d6点强酸伤害。豁免成功：半伤。 
3 黄Yellow。豁免失败：12d6点闪电伤害。豁免成功：半伤。 
4 绿Green。豁免失败：12d6点毒素伤害。豁免成功：半伤。 
5 蓝Blue。豁免失败：12d6点寒冷伤害。豁免成功：半伤。 
6 靛Indigo。豁免失败：目标陷入束缚状态，且其每个回合结束进行一次体质豁免。在累计三次豁免成功后，状态终止。在累计三次豁免失败后，该生物被转化为石头陷入石化状态，直到此状态被高等复原术Greater Restoration 或类似效应解除为止。成功或失败的检定不需要连续；只要记录各情况的次数直至其中一方累计三次为止。 
7 紫Violet。豁免失败：目标陷入目盲 状态且在下一个你的回合开始时进行一次感知豁免。豁免成功，状态终止。豁免失败，状态终止，且该生物会被传送到另一个存在位面（由DM选择）。 
8 特殊Special。目标被两道射线击中。掷两次骰，若有骰子出目为8则重骰那颗骰子。 </t>
  </si>
  <si>
    <t>Prismatic Spray</t>
  </si>
  <si>
    <t>投影术</t>
  </si>
  <si>
    <t>500里</t>
  </si>
  <si>
    <t>一尊价值5GP+的自塑像</t>
  </si>
  <si>
    <t>你创造一个自己的幻象分身，并使其在法术持续时间内维持存在。该分身可以出现在施法距离内你曾见过的任何地点，而不论中间是否存在障碍物。该幻象看起来和听起来都与你一样，只是没有现实形体。幻象受到伤害时会立即消失，法术终止。
你可以通过分身的眼睛视物，用分身的耳朵聆听，如同你处于它的位置一样。用一个魔法动作，你能使分身移动至多60尺，而其姿态、言语和行为均按照你的指定作表现。幻象可以完美地模仿你的举止。
由于东西可以穿过幻象，任何与该幻象进行的物理互动都会暴露其幻觉本质。一名生物可以采取研究动作进行一次对抗你法术豁免DC的成功智力（调查）检定以看穿幻象。辨出幻象的生物可以看穿该影像，其产生的声响对该生物而言显得虚假。</t>
  </si>
  <si>
    <t>Project Image</t>
  </si>
  <si>
    <t>再生术</t>
  </si>
  <si>
    <t>一个转经筒</t>
  </si>
  <si>
    <t>一名你触及的生物恢复4d8+15点生命值。在持续时间内，目标在其每回合开始时恢复1点生命值，且其失去的任何身体部位都将在2分钟后重新长出。</t>
  </si>
  <si>
    <t>Regenerate</t>
  </si>
  <si>
    <t>复生术</t>
  </si>
  <si>
    <t>一颗价值1000GP+的钻石，作为法术耗材</t>
  </si>
  <si>
    <t>你触碰一名已死，但死亡时间不超过100年，并非死于年老，且死亡时并非亡灵的生物，使其回生。
生物以生命值全满的状态重生。该法术同样会中和在该生物死亡时仍在生效的毒素。该法术能治愈所有致命伤，恢复所有失去的身体部位。
死而复生是一个痛苦的体验。目标进行D20检定时具有-4减值。目标每完成一次长休，其减值就减少1，直至减值变为0。
使用该法术复活一名已死去365日或更久的生物会使你耗费大量精力。在你完成一次长休前，你将无法再施展任何法术，且此时你进行的一切D20检定具有劣势。</t>
  </si>
  <si>
    <t>Resurrection</t>
  </si>
  <si>
    <t>反转重力</t>
  </si>
  <si>
    <t>一颗天然磁石和铁屑</t>
  </si>
  <si>
    <t>该法术以施法距离内一点为中心，创造一个半径50尺、高100尺的重力反转柱状区域。区域内所有未被固定在地面上的生物和物件都会向上落去，直到碰到该区域顶端为止。一名生物可以进行一次敏捷豁免以抓住一件他能触及的固定物件，从而避免向上坠落。
如果目标在坠落过程中撞上任何固体（比如天花板或被固定的物件），则坠落的物件和生物会受到同样情况下正常坠落时所会受到的冲击。如果一个物件或生物到达该区域的顶部并且没有撞到任何东西，则它将在持续时间内悬浮在该处。法术终止时，所有受术物件和受术生物向下坠落。</t>
  </si>
  <si>
    <t>Reverse Gravity</t>
  </si>
  <si>
    <t>隔离术</t>
  </si>
  <si>
    <t>价值5000GP+宝石粉尘，作为法术耗材</t>
  </si>
  <si>
    <t>你触碰一个物件或自愿生物，以魔法将其隔离起来。在法术持续期间，目标具有隐形状态并且不会被预言系法术作为目标，不会被魔法侦测，也不会被魔法远程观察到。
如果目标是一个生物，它会进入静滞。它陷入失能状态，不会衰老，也不需要进食、饮水或呼吸空气。
你可以设置一个让该法术提前终止的条件。该条件由你自由设定，但必须是发生在目标周围 1 里范围内或能在目标周围1里范围内看到的事件。例如：“1000 年以后”或者“当泰拉斯奎巨兽苏醒时”。如果受术者受到任何伤害，则该法术立刻终止。</t>
  </si>
  <si>
    <t>Sequester</t>
  </si>
  <si>
    <t>拟像术</t>
  </si>
  <si>
    <t>12小时</t>
  </si>
  <si>
    <t>价值1500GP+的红宝石粉末，作为法术耗材</t>
  </si>
  <si>
    <t>你创造一个野兽或类人生物的拟像，该生物在整段施法时间内必须一直在你的10尺内。结束施法时，你同时触碰该生物以及和该生物同样体型的一堆冰或者雪，然后冰雪变化为该生物的拟像。拟像是一个生物。它使用拟像对象本体在施法时的游戏数据，但其类别为构装，生命值上限为本体生命值上限的一半，并且它无法施展拟像术。
拟像对你和你所选定的生物态度友善。它服从你的命令并在战斗中你的回合里行动。拟像不能升级，也不能进行短休和长休。
如果拟像受到了伤害，想让其生命值恢复的唯一手段就是为其进行修理（作为长休 的一部分）。而若想要修理一个拟像，拟像必须在长休期间时刻处于你周围5尺内，且每为其恢复一点生命值就需要消耗你价值100GP的法术耗材。
拟像会一直持续到其生命值降至0为止，在生命值降至0时它会变回冰雪并立刻融化。再次施放此法术时，任何你已用此法术创造出来的拟像都会立刻被摧毁。</t>
  </si>
  <si>
    <t>Simulacrum</t>
  </si>
  <si>
    <t>徽记术</t>
  </si>
  <si>
    <t>价值1000GP+的钻石粉末，作为法术耗材</t>
  </si>
  <si>
    <t>直到法术被解除或触发</t>
  </si>
  <si>
    <r>
      <rPr>
        <sz val="11"/>
        <color theme="1"/>
        <rFont val="仿宋"/>
        <family val="3"/>
        <charset val="134"/>
      </rPr>
      <t>施展该法术时，你在某个表面（诸如地板或墙的一部分）或某个能被关闭的物件里（诸如书本或宝箱）刻下一个伤害性的符纹。符纹可以覆盖周边不超过 10 尺直径的区域。如果你指定某个物件，则该物件必须待在其所在位置；如果该物件从你施法的位置被移动超过 10 尺，则其符纹被破坏且法术不被触发即告终止。
该符纹近乎隐形，其需要成功以法术的豁免 DC 进行一次智力（调查）检定才能被发现。
你在刻下符文时决定该符纹的触发条件并选择徽记承载的效应：死亡、争斗、恐惧、痛苦、睡眠或震慑。对应效应在下面详述。
设置触发条件Set the Trigger。 你在施法时决定由什么来触发符纹。刻画于表面的符纹其通常的触发条件包括：触碰或站立在符纹上；拿掉覆盖在符纹上的物件；进入符纹一定施法距离。刻画在物件内的符纹其通常的触发条件包括：打开物件；看到该符纹等。
你可以进一步细化触发条件以便特定生物种类才能激活之（例如将符纹设定为影响异怪）。你还可以将符合条件者排除在符纹触发者之外，例如说出特定口令的人。
符纹一旦被触发就会开始变大，使其周围 60 尺半径的球状区域处于微光光照并持续 10 分钟，此后法术即告终止。符纹生效时，所有位于球状区域内的生物即成为法术效应的目标。生物在一个回合内第一次进入该区域内或在其中结束其回合时，也同样会成为符文效应的目标。一个生物每回合只能成为其目标一次。
　　</t>
    </r>
    <r>
      <rPr>
        <sz val="11"/>
        <color theme="1"/>
        <rFont val="Arial"/>
        <family val="2"/>
      </rPr>
      <t>•</t>
    </r>
    <r>
      <rPr>
        <sz val="11"/>
        <color theme="1"/>
        <rFont val="仿宋"/>
        <family val="3"/>
        <charset val="134"/>
      </rPr>
      <t xml:space="preserve"> 死亡Death。每个目标进行一次体质豁免，豁免失败者将受到 10d10 点暗蚀伤害，豁免成功则伤害减半。
　　</t>
    </r>
    <r>
      <rPr>
        <sz val="11"/>
        <color theme="1"/>
        <rFont val="Arial"/>
        <family val="2"/>
      </rPr>
      <t>•</t>
    </r>
    <r>
      <rPr>
        <sz val="11"/>
        <color theme="1"/>
        <rFont val="仿宋"/>
        <family val="3"/>
        <charset val="134"/>
      </rPr>
      <t xml:space="preserve"> 争斗Discord。每个目标进行一次感知豁免。豁免失败者将在接下来的 1 分钟内将不停地与其他生物争吵。期间它无法进行任何有意义的沟通，并且其进行的所有攻击检定和属性检定都具有劣势。
　　</t>
    </r>
    <r>
      <rPr>
        <sz val="11"/>
        <color theme="1"/>
        <rFont val="Arial"/>
        <family val="2"/>
      </rPr>
      <t>•</t>
    </r>
    <r>
      <rPr>
        <sz val="11"/>
        <color theme="1"/>
        <rFont val="仿宋"/>
        <family val="3"/>
        <charset val="134"/>
      </rPr>
      <t xml:space="preserve"> 恐惧Fear。每个目标进行一次感知豁免，豁免失败者将陷入 1 分钟的恐慌状态。被恐慌时，该生物只要可能，就必须在其回合内向远离符文的方向移动至少 30 尺。
　　</t>
    </r>
    <r>
      <rPr>
        <sz val="11"/>
        <color theme="1"/>
        <rFont val="Arial"/>
        <family val="2"/>
      </rPr>
      <t>•</t>
    </r>
    <r>
      <rPr>
        <sz val="11"/>
        <color theme="1"/>
        <rFont val="仿宋"/>
        <family val="3"/>
        <charset val="134"/>
      </rPr>
      <t xml:space="preserve"> 痛苦Pain。每个目标进行一次体质豁免，豁免失败者将陷入 1 分钟的失能状态。
　　</t>
    </r>
    <r>
      <rPr>
        <sz val="11"/>
        <color theme="1"/>
        <rFont val="Arial"/>
        <family val="2"/>
      </rPr>
      <t>•</t>
    </r>
    <r>
      <rPr>
        <sz val="11"/>
        <color theme="1"/>
        <rFont val="仿宋"/>
        <family val="3"/>
        <charset val="134"/>
      </rPr>
      <t xml:space="preserve"> 睡眠Sleep。每个目标进行一次感知豁免，豁免失败者将陷入 10 分钟的昏迷状态。该睡眠者受到伤害时将会被惊醒，也可以被其他人用一个动作摇醒。
　　</t>
    </r>
    <r>
      <rPr>
        <sz val="11"/>
        <color theme="1"/>
        <rFont val="Arial"/>
        <family val="2"/>
      </rPr>
      <t>•</t>
    </r>
    <r>
      <rPr>
        <sz val="11"/>
        <color theme="1"/>
        <rFont val="仿宋"/>
        <family val="3"/>
        <charset val="134"/>
      </rPr>
      <t xml:space="preserve"> 震慑Stunning。每个目标进行一次感知豁免，豁免失败者将陷入 1 分钟的震慑状态。</t>
    </r>
  </si>
  <si>
    <t>Symbol</t>
  </si>
  <si>
    <t>传送术</t>
  </si>
  <si>
    <t>此法术立即将你和至多八名施法距离内你可见的自愿生物，或者施法距离内你可见的一个物件转移至你选择的目的地。如果目标为一个物件，则其必须为大型Large或更小，且不能被一名非自愿生物持握或携带。
你必须知道目的地，且目的地必须与你位于同一个存在位面。你对目的地的熟悉程度决定了你抵达目的地的成功率。DM骰1d100并参照传送结果表和其后的详述。
传送结果Teleportation Outcome 
熟悉程度 遇难 相似区域 偏离地点 抵达地点
永久法阵 - - - 01-00
相关物件 - - - 01-00
非常熟悉 01-05 06-13 14-24 25-00
偶尔见过 01-33 34-43 44-53 54-00
看过一次或听过描述 01-43 44-53 54-73 74-00
查无此地 01-50 51-00 - -
熟悉程度Familiarity。 表中熟悉程度一列的词汇解释如下：
“永久法阵” 指某处你知道其印记序列的永久传送法阵。
“相关物件”指你持有一件在过去六个月内从目标地点取来的物件，例如某个法师图书馆内的一本书。
“非常熟悉” 指你常去的地方，你仔细研究过的地方，或是你在施展该法术时能看见的地方。
“偶尔见过” 指你见过几次的地方，但你不是很熟悉。
“见过一次或听过描述”指你只见过一次的地方，包括通过魔法看到的地点，或你从别人那里听来位置和外观的地点，比如从地图上看来的地点。
“查无此地”指根本不存在的地点。也许你尝试探知敌人的密室但看到的只是幻象，或是你尝试传送至一个如今已不再存在的地点。
遇难Mishap。该法术不可控的魔法效果导致这次旅行特别艰难。尝试传送的所有生物（或目标物件）受到3d10点力场伤害，随后DM重骰d100并查阅上表来决定你们出现在哪里（你们可能再次遇难，而每次遇难都要承受该伤害）。
相似地区Similar Area。你和你的队伍（或目标物件）出现在一个和目的地外观或主题相似的不同地点。你出现在最近的相似地区。例如，如果你想回你自己的研究室去，则你可能会误打误撞出现在同一座城市其他法师的研究室里。
偏离地点Off Target。 你和你的队伍（或目标物件）出现在目的地随机方向上2d12里距离的一点。骰1d8来判误差出现在目的地的哪个方向：1，正东；2，东南；3，正南；4，西南；5，正西；6，西北；7，正北；8，东北。
抵达地点On Target。 你和你的队伍（或目标物件）出现在你欲抵达的地点。</t>
  </si>
  <si>
    <t>Teleport</t>
  </si>
  <si>
    <t>动物形态</t>
  </si>
  <si>
    <t>选择施法距离内任意数量的自愿生物。每个目标都变形为一只挑战等级不超过4，体型不超过大型的野兽。你可以将每个目标变为不同的形态。在法术持续时间内之后的回合中，你可以使用一个魔法 动作将这些目标再度变形。
生物的游戏数据被选择的野兽资料卡替换，但目标保留其生物类型、生命值、生命骰、阵营、交流的能力以及智力、感知、魅力属性值。目标的动作受到新形态身体结构的限制，并且无法施法。目标的装备会融入其新形态，而且处于此形态时无法使用这些被融入的装备。
目标获得等于野兽形态生命值的临时生命值。该变形会在持续时间结束或目标失去所有临时生命值时结束，目标也能以一个附赠动作变回原型以结束此法术。</t>
  </si>
  <si>
    <t>Animal Shapes</t>
  </si>
  <si>
    <t>反魔法场</t>
  </si>
  <si>
    <t>一撮铁粉或铁屑</t>
  </si>
  <si>
    <t>一道反魔法灵光环绕着你形成10尺光环区域。在灵光内部无法施展法术，使用魔法动作或创造魔法效应，并且这些事物也无法以灵光内的任何事物为目标或影响灵光内部的任何事物。魔法物品的魔法属性在灵光内部不起作用，也无法影响处于灵光内部的任何事物。
法术和其他魔法效应产生的效应区域无法延伸至灵光内部。传送无法进出其范围，位面旅行在该范围内无法使用。当传送门处于灵光内部时，传送门会暂时关闭。
正在持续中的法术在区域内会被压制，除非该法术为某个神器或某位神明所施展。压制的魔法效应不会生效，但该魔法效应受压制的时间仍然如常计入其总持续时间。
解除魔法Dispel Magic 对灵光无效，而由不同反魔法场法术所创造的灵光之间也不会相互抵消。</t>
  </si>
  <si>
    <t>Antimagic Field</t>
  </si>
  <si>
    <t>嫌恶术/关怀术</t>
  </si>
  <si>
    <t>醋和蜂蜜的混合</t>
  </si>
  <si>
    <t>10天</t>
  </si>
  <si>
    <r>
      <rPr>
        <sz val="11"/>
        <color theme="1"/>
        <rFont val="仿宋"/>
        <family val="3"/>
        <charset val="134"/>
      </rPr>
      <t>当你施展此法术时，选择它是产生嫌恶还是关怀效应，并选择一个巨型或更小体型的生物或物件。然后指定特定类型的生物，比如红龙、地精或吸血鬼。当此类生物进入被选择的生物120尺内时，它必须进行一次感知豁免。你选择的嫌恶或关怀效应会决定当豁免失败时，这个生物身上产生的效应。
　　</t>
    </r>
    <r>
      <rPr>
        <sz val="11"/>
        <color theme="1"/>
        <rFont val="Arial"/>
        <family val="2"/>
      </rPr>
      <t>•</t>
    </r>
    <r>
      <rPr>
        <sz val="11"/>
        <color theme="1"/>
        <rFont val="仿宋"/>
        <family val="3"/>
        <charset val="134"/>
      </rPr>
      <t xml:space="preserve"> 嫌恶术Antipathy。该生物将陷入恐慌 状态。因此陷入恐慌的生物必须在其回合内使用其移动力尽可能远离目标，并沿着最安全的路线移动。
　　</t>
    </r>
    <r>
      <rPr>
        <sz val="11"/>
        <color theme="1"/>
        <rFont val="Arial"/>
        <family val="2"/>
      </rPr>
      <t>•</t>
    </r>
    <r>
      <rPr>
        <sz val="11"/>
        <color theme="1"/>
        <rFont val="仿宋"/>
        <family val="3"/>
        <charset val="134"/>
      </rPr>
      <t xml:space="preserve"> 关怀术Sympathy。该生物将陷入魅惑状态。因此陷入魅惑的生物必须在其回合内使用其移动力尽可能接近目标，并沿着最安全的路线移动。如果该生物位于目标的5尺内，它不能自主远离目标。如果目标伤害陷入魅惑 的生物，该生物能够如下文描述一样进行一次感知豁免来结束这一效应。
结束效应Ending the Effect。如果陷入恐慌或魅惑 的生物在距离目标距离120尺以上结束时结束回合，该生物进行一次感知豁免。豁免成功的情况下，该生物不再被目标影响。在对抗该效应的豁免中成功的生物将不受此法术的效应影响，持续 1 分钟，随后仍可能受到该效应影响。</t>
    </r>
  </si>
  <si>
    <t>AntipathySympathy</t>
  </si>
  <si>
    <t>摧心术</t>
  </si>
  <si>
    <t>一把没有钥匙的钥匙圈</t>
  </si>
  <si>
    <t>你将一个施法距离内你可见的生物的心灵爆破。该目标必须进行一次智力豁免。
若豁免失败，目标受到10d12心灵伤害，并且无法施展法术也无法执行魔法动作。受术生物每过 30 日即可在当日结束时重复进行该豁免，豁免成功则此法术效应终止。此效应也可以被高等复原术Greater Restoration、医疗术Heal、祈愿术Wish 法术终止。
若豁免成功，则目标只会受到一半伤害。</t>
  </si>
  <si>
    <t>Befuddlement</t>
  </si>
  <si>
    <t>克隆术</t>
  </si>
  <si>
    <t>一枚价值1000GP+的钻石作为法术耗材。以及一副价值2000GP+的带密封功能的大容器，其尺寸必须足以存放一个要被克隆的生物</t>
  </si>
  <si>
    <t>法术成分： V、S、M（一枚价值1000GP+的钻石作为法术耗材。以及一副价值2000GP+的带密封功能的大容器，其尺寸必须足以存放一个要被克隆的生物）
持续时间：立即
你触碰一名被生物或其不小于1立方寸的血肉。在施展法术使用的容器中，一具该生物的无生命克隆体成形，你可以选择克隆体是和该生物同龄或是更年轻的版本。在容器未被外界影响时，其中的躯体会一直保持无意识的静止状态。这个克隆体在120日后成熟。
如果本体生物在克隆体成熟后死亡，则其灵魂转移到克隆体中，前提是该灵魂必须保持自由且愿意归来。克隆体的肉体特质与本体相同，并具有相同的个性、记忆和能力，但不具有本体的随身装备。由于灵魂已经转移到别处，该生物原本的遗体（如果依然存在）失去活力，且不能被复活。</t>
  </si>
  <si>
    <t>Clone</t>
  </si>
  <si>
    <t>操控天气</t>
  </si>
  <si>
    <t>燃烧的熏香</t>
  </si>
  <si>
    <t>你在法术持续时间内操控距你5里内的天气。你在施法时必须位于户外，并且若你回到室内，法术会提前终止。
你施展此法术时，可以改变现有的天气状况（由DM决定）。你可以改变降水、气温和风势。新状况需要1d4×10分钟才能起效。一旦新状况起效，你便能再次改变天气状况。法术结束时，天气状况会逐渐回归正常。
改变天气状况时，你可以从下述表格查明与目前状况对应的等级，再选择同一表格中高一级或低一级的状况作为其改变结果。改变风势时，你还可以同时改变其风向。 
降水Precipitation
阶段 状况
1 晴
2 薄云
3 多云或有雾
4 雨、雹或雪
5 倾盆大雨、猛烈冰雹或漫天暴雪
气温Temperature
阶段 状况
1 酷热
2 炎热
3 温暖
4 凉爽
5 寒冷
6 极寒
风势Wind 
阶段 状况
1 无风
2 和风
3 强风
4 大风
5 暴风</t>
  </si>
  <si>
    <t>Control Weather</t>
  </si>
  <si>
    <t>半位面</t>
  </si>
  <si>
    <t>你在施法距离内你可见的一处平坦固体表面上创造一扇中型的通向半位面的虚幻门。这扇门可以被关闭和开启。半位面是一间各边均长30尺，木质或石质（由你选择）的空房间。
法术终止时，门消失不见，任何仍然位于半位面中的物件会留在内部。任何仍然位于半位面中的生物也会留在那里，除非他们选择在门消失的时候被抛出，在距门先前占据的空间中最近的未占空间中落地，陷入倒地状态。
你每次施展此法术时都可以创造一个新的半位面，也可以将门连向你先前用此法术创造的半位面。此外，如果你知晓了某个其他生物用此法术创造的半位面的本质和内容物，则你也可以通过此法术连接到那里。</t>
  </si>
  <si>
    <t>Demiplane</t>
  </si>
  <si>
    <t>支配怪物</t>
  </si>
  <si>
    <t>选择一名法术范围内你可见的生物，该生物必须成功于一次感知豁免，否则在持续时间内陷入魅惑状态。若你或你的盟友正在与其战斗，则目标在此豁免上具有优势。目标受到伤害时，可以重复进行豁免，豁免成功则其身上的此法术终止。
目标被魅惑期间，只要你与其处于同一位面就可以与之保持心灵感应。在你的回合，你可以通过心灵感应命令该生物（无需动作），比如“攻击那个生物”“跑到那个位置”或是“去拿那个物品”。目标完成一项指令却未收到你的进一步指示时，将会凭自身喜好行动，尽可能的保护自己。
你可以用自己的反应去要求目标执行一项反应。
升环施法：使用更高环阶法术位施展时，你的专注能持续更长时间，九环至多8小时。</t>
  </si>
  <si>
    <t>Dominate Monster</t>
  </si>
  <si>
    <t>地震术</t>
  </si>
  <si>
    <t>一块碎岩</t>
  </si>
  <si>
    <r>
      <rPr>
        <sz val="11"/>
        <color theme="1"/>
        <rFont val="仿宋"/>
        <family val="3"/>
        <charset val="134"/>
      </rPr>
      <t>选择施法距离内你可见的地面上一点。法术持续时间内，一股强烈的震颤在以震源为中心半径100尺的圆形范围内传递。处于此范围内的地面被视为困难地形 。
你施展此法术时，以及法术持续时间内每个你的回合结束时，区域地面上的每个生物都必须进行一次敏捷豁免，豁免失败则其陷入倒地状态，且其专注被打断。
你也可以应用下述的额外效应：
　　</t>
    </r>
    <r>
      <rPr>
        <sz val="11"/>
        <color theme="1"/>
        <rFont val="Arial"/>
        <family val="2"/>
      </rPr>
      <t>•</t>
    </r>
    <r>
      <rPr>
        <sz val="11"/>
        <color theme="1"/>
        <rFont val="仿宋"/>
        <family val="3"/>
        <charset val="134"/>
      </rPr>
      <t xml:space="preserve"> 裂缝Fissures。在你施展此法术的回合结束时，受法术影响的区域会撕开总计1d6条裂缝。你选择裂缝生成的地点，但裂缝的位置不可位于建筑物之下。每条裂缝深1d10×10尺，宽10尺，并由影响区域的一边向另一边延伸。裂缝撕开时，处于其位置上的生物必须成功通过一次敏捷豁免，否则将坠落其中。豁免成功则该生物在裂缝张开时随之移动到裂缝的边缘。
　　</t>
    </r>
    <r>
      <rPr>
        <sz val="11"/>
        <color theme="1"/>
        <rFont val="Arial"/>
        <family val="2"/>
      </rPr>
      <t>•</t>
    </r>
    <r>
      <rPr>
        <sz val="11"/>
        <color theme="1"/>
        <rFont val="仿宋"/>
        <family val="3"/>
        <charset val="134"/>
      </rPr>
      <t xml:space="preserve"> 建筑Structures。在你施展此法术时及法术终止前你的每个回合结束时，地震对影响区域内的所有与地面有接触的建筑都造成50点钝击伤害。建筑生命值降为0时立即崩塌。
与该建筑距离不大于该建筑高度一半的生物进行一次敏捷豁免。豁免失败则受12d6点钝击伤害并陷入倒地状态且被埋于废墟之下。该生物可用一个动作通过一次DC20的力量（运动）检定来尝试逃离废墟。DM可根据废墟的情况调整DC高低。豁免成功则只受一半伤害。</t>
    </r>
  </si>
  <si>
    <t>Earthquake</t>
  </si>
  <si>
    <t>花言巧语</t>
  </si>
  <si>
    <t>直至法术终止前，你每次进行魅力检定时可以用15代替你掷出的数值。此外，无论你说什么，判断你是否说谎的魔法都会将你的话视为真实。</t>
  </si>
  <si>
    <t>Glibness</t>
  </si>
  <si>
    <t>圣洁灵光</t>
  </si>
  <si>
    <t>一个价值1000+GP的小圣物箱</t>
  </si>
  <si>
    <t>你在持续时间中发出灵光形成半径30尺的光环。你可以指定若干生物，在光环内时，他们进行的所有豁免均具有优势，而其他生物对它们进行的攻击检定具有劣势。另外，当一个邪魔或亡灵生物以近战攻击命中受术生物时，攻击者必须进行一次体质豁免，豁免失败者将陷入目盲状态，持续至它的下一回合结束。</t>
  </si>
  <si>
    <t>Holy Aura</t>
  </si>
  <si>
    <t>焚云术</t>
  </si>
  <si>
    <t>一片充满了炽热灰烬的旋转烟云显现，并以施法距离内一点为中心的蔓延至半径20尺的球状区域。烟云区域被重度遮蔽。烟云会存在直至持续时间结束，或是直至被一阵强风（例如被造风术Gust of Wind 所创造）所吹散。
烟云出现时，每个处在其内的生物都必须通过一次敏捷豁免，豁免失败者将受到10d8点火焰伤害，豁免成功则受到一半伤害。该球状区域移动至生物所占据的空间，或者生物进入球状区域内，或者生物在球状 区域内结束其回合时，该生物也必须进行该豁免。一名生物每回合仅需进行一次该豁免。
在你的每回合开始时，烟云会向你指定的、远离你的方向直线移动10尺。</t>
  </si>
  <si>
    <t>Incendiary Cloud</t>
  </si>
  <si>
    <t>迷宫术</t>
  </si>
  <si>
    <t xml:space="preserve">你将施法距离内一个你能看见的生物放逐到一个迷宫般错综复杂的半位面。目标将一直留在该处直至法术持续时间结束，或者直到它逃出该迷宫。
目标可以使用研究动作尝试逃出迷宫。此时它可以进行一次DC20 （调查 ）的智力检定，检定成功将逃出迷宫，而该法术随之终止。
法术终止时，目标将重新出现在它之前消失的位置。如果该位置被占据，则目标出现在最近的未占据位置。 </t>
  </si>
  <si>
    <t>Maze</t>
  </si>
  <si>
    <t>心灵屏障</t>
  </si>
  <si>
    <t>直到法术终止前，你所触碰的一个自愿生物对下列项目具有免疫：心灵伤害；魅惑状态；任何可以感知到其情绪、阵营或阅读其思想的效应；可以侦测其位置的魔法。任何法术，哪怕是祈愿术Wish，都不能收集目标信息、远程监视之或控制其心智。</t>
  </si>
  <si>
    <t>Mind Blank</t>
  </si>
  <si>
    <t>律令震慑</t>
  </si>
  <si>
    <t>你压垮施法距离内一名你可见生物的心灵。若目标生命值不超过150点，则其陷入震慑状态；否则，目标的速度直至你下个回合开始前变为0。
被震慑目标在每个其回合结束时进行一次体质豁免。豁免成功时其身上的此状态终止。</t>
  </si>
  <si>
    <t>Power Word Stun</t>
  </si>
  <si>
    <t>阳炎爆</t>
  </si>
  <si>
    <t>一块太阳石</t>
  </si>
  <si>
    <t>指定施法距离内一点，以其为中心周围 60 尺半径的球状区域闪耀出灿烂的阳光。所有球状区域中的生物进行一次体质豁免。豁免失败者将受到12d6点光耀伤害，并陷入持续1分钟的目盲状态。豁免成功则仅受到一半伤害。
因该法术陷入目盲的生物在其每回合结束时都可以再进行一次体质豁免。豁免成功则不再目盲。
该法术将驱散法术区域内所有由法术所创造的黑暗。</t>
  </si>
  <si>
    <t>Sunburst</t>
  </si>
  <si>
    <t>一对银连环</t>
  </si>
  <si>
    <t>你与一个你熟识的自愿生物建起心灵连接。该生物可以身处你所在的存在位面的任意位置。一旦你与目标生物不再位于同一位面，则该法术随即终止。
直至法术终止，你可以和目标生物通过心灵连接即时共享任何言语、图像、声音以及其他形式的感官信息，而目标也能够辨认出与之交流的对象正是你本人。该法术可以让目标生物理解你所发送的话语和任何感官信息。</t>
  </si>
  <si>
    <t>Telepathy</t>
  </si>
  <si>
    <t>海啸术</t>
  </si>
  <si>
    <t>专注，至多6轮</t>
  </si>
  <si>
    <t>一面水墙从施法范围内你指定的一点成型。水墙至多长300尺，高300尺，厚50尺，且持续存在至法术终止。
水墙出现时，所有位于范围内的生物进行一次力量豁免。豁免失败者受到6d10点钝击伤害，豁免成功则只受一半伤害。
水墙出现后你的每回合开始时，水墙将带着其内的所有生物一起向远离你的方向移动50尺。当水墙进入一个体型不超过巨型的生物所占据的空间，或他们原本就处于墙内时，该生物必须进行一次力量豁免，豁免失败则受到5d10点钝击伤害。一名生物一轮只能受到一次此伤害。在你的回合结束时，水墙的高度减少50尺，且其随后每轮对生物造成的伤害也减少1d10。当水墙高度变为0尺时，法术终止。
淹没在水墙中的生物可以用游泳的方式移动，由于波涛阻力影响，该生物必须成功于一次对抗你法术豁免DC的力量（运动）检定以决定其能否成功移动。检定失败者无法移动。移动离开水墙区域的生物会直接掉到地上。</t>
  </si>
  <si>
    <t>Tsunami</t>
  </si>
  <si>
    <t>星界投影</t>
  </si>
  <si>
    <t>你必须为此法术的每个目标准备一枚价值1000GP+的红锆石和一根价值100GP+的银棒，两者都作为此法术耗材</t>
  </si>
  <si>
    <t>你和施法距离内至多八名自愿的生物将星界躯体投影到星光位面Astral Plane（如果你已经在星光位面，则法术立即终止）。每个目标原本的躯体都会被留在原地陷入静止；每个躯体都会具有昏迷状态，但不需要空气、食物，也不会衰老。
目标的星界躯体几乎完美的保持了原本的形态，并保留其本体的游戏资料和随身物。生物的星界躯体与本体有一个显著的区别，那就星界躯体从肩胛骨间向后伸出的一条银线。这条线的可见长度仅有一尺。
如果目标的银线被切断（只有明确注明可以切断这种银线的效应才可以将其切断），目标的身体和星界躯体都会死亡。
目标的星界躯体可以在星光位面任意旅行。当星界躯体离开星光位面时，你的本体和物品将沿着银线被传送，使你以本体的形态到达新位面。
星界躯体承受的伤害或效应不会反映在你的本体上，反之亦然。如果某生物的本体或星界躯体的生命值降至0，则该生物自身的投影效应终止。你可以用魔法 动作消解此法术，以此结束此法术所有目标的星界投影效应。
受术生物身上的法术效应终止时，如果其没有死亡，其会被拉回原本的躯体，并脱离静止。</t>
  </si>
  <si>
    <t>Astral Projection</t>
  </si>
  <si>
    <t>预见术</t>
  </si>
  <si>
    <t>一根蜂鸟羽毛</t>
  </si>
  <si>
    <t>你触碰一名自愿生物，并授予其预见近未来事件的有限能力。法术持续时间内，该目标进行的所有D20检定均具有优势，而其他生物对其进行攻击检定时具有劣势。此法术的效应会在你再次施展此法术时提前终止。</t>
  </si>
  <si>
    <t>Foresight</t>
  </si>
  <si>
    <t>异界之门</t>
  </si>
  <si>
    <t>一颗价值5000GP+的钻石</t>
  </si>
  <si>
    <t>你召唤一扇传送门将施法距离内你能看到的一处未占据空间与一个不同位面的准确地点连接在一起。传送门是你打开的一个直径5到20尺的圆形开口。其开口朝向你指定的任意方向，并持续至法术终止。传送门在法术持续时间内一直存在，且可以透过传送门看见其目的地。
在两个位面上显现的传送门均有明确的正反面，只有穿过传送门的正面才能实现位面旅行。任何穿过传送门正面的事物将被瞬间转移至另一位面，随后显现在离另一道传送门周围最近的未占据空间中。
神祇以及其他位面统治者均可以阻止该法术在其所在或属于其领域的任何地点创造传送门。
施展该法术时，你可以说出某个特定生物的名字（不能是假名、头衔、绰号等）。如果该生物在与你不同的位面，则传送门会紧挨被指名生物打开并将该生物传送至你这一侧，出现在距传送门最近的未占空间。你不会获得任何用来控制被传送生物的特殊能力，而它此时可以自由的作任何DM认为合适的行动。它可能离开，也可以攻击你或协助你。</t>
  </si>
  <si>
    <t>Gate</t>
  </si>
  <si>
    <t>禁锢术</t>
  </si>
  <si>
    <t>一个价值5000GP+的与目标相似的小雕像</t>
  </si>
  <si>
    <r>
      <rPr>
        <sz val="11"/>
        <color theme="1"/>
        <rFont val="仿宋"/>
        <family val="3"/>
        <charset val="134"/>
      </rPr>
      <t>你创造一个魔法禁锢之牢，将施法距离内一个你能看见的生物监禁于其内。目标必须通过一次感知豁免，若成功通过豁免，生物将不受此法术影响，并且免疫于此法术24小时。而豁免失败则被该法术禁锢。禁锢期间，目标生物不需要呼吸，不需要吃喝，也不会变老。预言法术无法定位或感知到该目标，并且目标生物不能传送。
直至法术结束前，该生物还将承受下述其中一项你所选择的效应：
　　</t>
    </r>
    <r>
      <rPr>
        <sz val="11"/>
        <color theme="1"/>
        <rFont val="Arial"/>
        <family val="2"/>
      </rPr>
      <t>•</t>
    </r>
    <r>
      <rPr>
        <sz val="11"/>
        <color theme="1"/>
        <rFont val="仿宋"/>
        <family val="3"/>
        <charset val="134"/>
      </rPr>
      <t xml:space="preserve"> 埋葬Burial。目标被深埋在地表以下的球体魔法力场内，其大小刚好能包覆住目标。任何事物都无法进入或离开这个球体魔法力场。
　　</t>
    </r>
    <r>
      <rPr>
        <sz val="11"/>
        <color theme="1"/>
        <rFont val="Arial"/>
        <family val="2"/>
      </rPr>
      <t>•</t>
    </r>
    <r>
      <rPr>
        <sz val="11"/>
        <color theme="1"/>
        <rFont val="仿宋"/>
        <family val="3"/>
        <charset val="134"/>
      </rPr>
      <t xml:space="preserve"> 锁链Chaining。沉重的锁链牢固地深植于大地，将目标禁锢在原地。目标陷入束缚状态，且任何手段都无法使目标被移动。
　　</t>
    </r>
    <r>
      <rPr>
        <sz val="11"/>
        <color theme="1"/>
        <rFont val="Arial"/>
        <family val="2"/>
      </rPr>
      <t>•</t>
    </r>
    <r>
      <rPr>
        <sz val="11"/>
        <color theme="1"/>
        <rFont val="仿宋"/>
        <family val="3"/>
        <charset val="134"/>
      </rPr>
      <t xml:space="preserve"> 避世监牢Hedged Prison。 该法术将目标传送至一个隔绝了传送和位面旅行的小型半位面。该半位面的结构由你选择，它可以是一个迷宫（labyrinth）、一间牢房、一座塔楼、或是其他类似的建筑。
　　</t>
    </r>
    <r>
      <rPr>
        <sz val="11"/>
        <color theme="1"/>
        <rFont val="Arial"/>
        <family val="2"/>
      </rPr>
      <t>•</t>
    </r>
    <r>
      <rPr>
        <sz val="11"/>
        <color theme="1"/>
        <rFont val="仿宋"/>
        <family val="3"/>
        <charset val="134"/>
      </rPr>
      <t xml:space="preserve"> 微缩牢笼Minimus Containment。 目标被缩小到1寸高，并囚禁于一块宝石或是类似的物件中。光线可以正常地穿透宝石（使目标得以看到外面，其他生物也可以看到里面），但其他任何事物仍无法以任何方式出入牢笼。
　　</t>
    </r>
    <r>
      <rPr>
        <sz val="11"/>
        <color theme="1"/>
        <rFont val="Arial"/>
        <family val="2"/>
      </rPr>
      <t>•</t>
    </r>
    <r>
      <rPr>
        <sz val="11"/>
        <color theme="1"/>
        <rFont val="仿宋"/>
        <family val="3"/>
        <charset val="134"/>
      </rPr>
      <t xml:space="preserve"> 沉睡Slumber。 目标陷入昏迷 状态且无法被唤醒。
终止法术Ending the Spell。当你施展此法术时，你需要配置一个使法术终止并释放目标的条件。此条件不论明确还是复杂都按你的意愿决定，但该条件在未来十年内必须有较高可能性发生（由DM判断并同意）。你配置的条件必须是一个可以被观测的行为，例如某人在你信仰神祇的神庙内献上了一份特殊的祭品，某人拯救了你的真爱，或者是击败了某只特定的怪物。
尝试使用法术解除魔法Dispel Magic终止此法术时，施展者必须使用九环法术位，并对监牢或创造监牢效果所用的法术材料施展该法术，才能以此终止此法术。</t>
    </r>
  </si>
  <si>
    <t>Imprisonment</t>
  </si>
  <si>
    <t>群体医疗术</t>
  </si>
  <si>
    <t xml:space="preserve">如泉涌般的治愈能量从你流向周遭的生物。选择施法距离内任意数量的可见生物，你令它们恢复总计至多700点生命值，每个生物的具体治疗量则由你随意分配。受该法术所治疗的生物的目盲、耳聋、中毒状态也一并被移除。 </t>
  </si>
  <si>
    <t>Mass Heal</t>
  </si>
  <si>
    <t>流星爆</t>
  </si>
  <si>
    <t>炽热的焰球坠向地面上你指定的你所能看见的施法距离内四个不同地点。以每个指定点为中心，40尺半径球状 区域内的每个生物必须通过一次敏捷豁免。豁免失败者将受到 20d6 的火焰伤害和 20d6 的钝击伤害，豁免成功则受到一半伤害。即使生物同时处于多个球状火焰内的生物也只会受一次效应影响。
法术区域内的未被着装或携带的非魔法物件也会承受该伤害，若其可燃则也会开始燃烧 。</t>
  </si>
  <si>
    <t>Meteor Swarm</t>
  </si>
  <si>
    <t>律令医疗</t>
  </si>
  <si>
    <t>一股治疗能量冲刷着一名施法距离内你可见的生物。目标恢复其所有生命值。若目标具有魅惑、恐慌、麻痹、中毒、震慑状态，则目标身上的此类状态立刻结束。若目标处于倒地状态，则其还可以用其反应起身。</t>
  </si>
  <si>
    <t>Power Word Heal</t>
  </si>
  <si>
    <t>律令死亡</t>
  </si>
  <si>
    <t>你强迫一名施法距离内你可见的生物死亡。若目标的生命值 为低于或等于100点，目标立即死亡。否则，目标将受到12d12点心灵伤害。</t>
  </si>
  <si>
    <t>Power Word Kill</t>
  </si>
  <si>
    <t>虹光法墙</t>
  </si>
  <si>
    <t xml:space="preserve">以施法距离内你一点为源点，各种色彩的光芒形成光面，再组合构成一道不透明的垂直墙壁。法墙至多长90尺，高30尺，厚1寸。作为另一种选项，你也能以施法距离内你能看到的一点为中心，将法墙塑造成一个直径至多30尺的球体。法墙在持续时间内一直存在。如果你指定法墙生成的空间已被生物占据，则法术立即结束且不产生任何效应。
法墙发出100尺的明亮光照，以及其外100尺的微光光照。施展该法术时你可以指定任意数量的生物，法墙存在期间你与所指定的生物可以穿过法墙或停留在法墙附近而不受伤害。如果其他能看见法墙的生物移动到距墙20尺内或在该处开始其回合，则该生物必须进行一次体质豁免，豁免失败则陷入目盲 状态，持续1分钟。
法墙由七层组成，每层都有不同颜色。生物试图进入或穿过法墙时，将逐层穿过法墙所有的光层。其每穿过一层就必须进行一次敏捷豁免，豁免失败则受虹光光层表中所述特性影响。
法墙的AC为10，可以被摧毁，不过也必须由红到紫的顺序一次一层地按照特定的方式逐层摧毁。某个光层一旦被摧毁则其在法术持续时间内保持被摧毁状态。反魔法场Antimagic Field无法对法墙生效，解除魔法Dispel Magic只对紫墙有效。 
虹光光层Prismatic Layers 
顺序 效应 
1 红Red。豁免失败：12d6点火焰伤害。豁免成功：半伤。
额外效应：非魔法远程攻击无法穿过此层，此层受到累计25点寒冷伤害后被摧毁。 
2 橙Orange。豁免失败：12d6点强酸伤害。豁免成功：半伤。
额外效应：魔法远程攻击无法穿过此层，此层受强风（如造风术Gust of Wind创造的风）吹袭后被摧毁。 
3 黄Yellow。豁免失败：12d6点闪电伤害。豁免成功：半伤。
额外效应：此层受到累计60点力场伤害后被摧毁。 
4 绿Green。豁免失败：12d6点毒素伤害。豁免成功：半伤。
额外效应：此层受穿墙术Passwall影响，或者其它相同或更高环阶法术在固态表面开口的效应影响时被摧毁。 
5 蓝Blue。豁免失败：12d6点寒冷伤害。豁免成功：半伤。
额外效应：此层受到25点火焰伤害后被摧毁。 
6 靛Indigo。豁免失败：目标陷入束缚状态，且其每个回合结束进行一次体质豁免。在累计三次豁免成功后，状态终止。在累计三次豁免失败后，该生物被转化为石头陷入石化状态，直到此状态被高等复原术Greater Restoration或类似效应解除为止。成功或失败的检定不需要连续；只要记录各情况的次数直至其中一方累计三次为止。
额外效应：法术无法穿过此层，此层受到昼明术Daylight的明亮光照照射后被摧毁。 
7 紫Violet。豁免失败：目标陷入目盲状态且在下一个你的回合开始时需要再进行一次感知豁免。若豁免成功，状态终止。若豁免失败，状态终止，且该生物会被传送到另一个存在位面（由DM选择）。
额外效应：此层受解除魔法Dispel Magic解除后被摧毁。 </t>
  </si>
  <si>
    <t>Prismatic Wall</t>
  </si>
  <si>
    <t>形体变化</t>
  </si>
  <si>
    <t>一只价值1500GP+的玉环</t>
  </si>
  <si>
    <t>在法术持续时间内，你变形为另一个生物。你还可以使用魔法动作来变形为另一个符合条件的形态。新形态生物的挑战等级必须不高于你的等级或挑战等级的生物。你必须在之前见过该类生物至少一次，并且该生物不能是构装生物或亡灵生物。
当你变形时，你获得数值等于新形态生命值的临时生命值。此法术会在你已不具有任意来源的临时生命值时提前结束。
你的游戏资料卡替换为所选择形态的资料卡，但你保留你的生物类型、阵营、人格，智力、感知与魅力属性值、生命值、生命骰、熟练以及交流的能力。如果你具有施法特性，你同样保留它。
进行变形的途中，你可以决定你的装备是落到地上，还是改变其尺寸和形状来适应你的新形态。</t>
  </si>
  <si>
    <t>Shapechange</t>
  </si>
  <si>
    <t>复仇风暴</t>
  </si>
  <si>
    <t>以施法距离内一点为中心，一团翻腾搅动的乌云在法术时间内成形，并扩散至半径300尺的区域。当云团出现时，所有位于云团下的生物必须进行一次体质豁免。豁免失败者将受到2d6点雷鸣伤害且在持续时间内陷入耳聋 状态。
在持续时间内。后续的每个你的回合开始时，风暴会在产生一道不同的效应，如下所示：
第2回合。 云层中降下酸雨。所有位于云团下方的生物和物件受到4d6点强酸伤害。
第3回合。 你从云中召下六束闪电束击向六个位于云团下的不同生物/物件。这些目标必须通过一次敏捷豁免，豁免失败者将受到10d6点闪电伤害，豁免成功者受到一半伤害。
第4回合。 冰雹从云团中倾泻而下。所有位于云团下方的生物将受到2d6点钝击伤害。
第5回合~第10回合。狂风和冰雨冲袭着云团下的区域，该区域内的所有生物受到1d6点寒冷伤害。在法术结束前，使该区域变为困难地形、形成重度遮蔽 ，并刮起强风。该区域内无法使用武器发动远程攻击。</t>
  </si>
  <si>
    <t>Storm of Vengeance</t>
  </si>
  <si>
    <t>时间停止</t>
  </si>
  <si>
    <t>你短暂地停止其他所有人的时间流。你一次性进行1d4+1个回合，在此期间，时间对于其他生物而言是静止的，但你可以像正常一样移动和使用动作。
在此期间，若你的一个动作或任何你创造出来的效应影响到除你之外的任何生物，或影响到其他生物着装或携带的物件时，法术将终止。此外，如果你在施法后移动到了距施法时位置1000尺以外的地方，则法术也将终止。</t>
  </si>
  <si>
    <t>Time Stop</t>
  </si>
  <si>
    <t>完全变形术</t>
  </si>
  <si>
    <t>一滴汞、一团阿拉伯胶和一缕烟</t>
  </si>
  <si>
    <r>
      <rPr>
        <sz val="11"/>
        <color theme="1"/>
        <rFont val="仿宋"/>
        <family val="3"/>
        <charset val="134"/>
      </rPr>
      <t>选择施法距离内你可见的一名生物或一个非魔法物件，你将那名生物变形成一名不同的生物或一个非魔法物件，或者那个物件变形成一名生物（物件必须并未被着装或携带）。这一转变会一直持续到持续时间结束或目标死亡/被摧毁为止；如果你为此法术维持了最长时间的专注，则法术的持续时间会延长为直至被解除。
一名非自愿生物可以进行一次感知豁免，若豁免成功则不会受此法术影响。
　　</t>
    </r>
    <r>
      <rPr>
        <sz val="11"/>
        <color theme="1"/>
        <rFont val="Arial"/>
        <family val="2"/>
      </rPr>
      <t>•</t>
    </r>
    <r>
      <rPr>
        <sz val="11"/>
        <color theme="1"/>
        <rFont val="仿宋"/>
        <family val="3"/>
        <charset val="134"/>
      </rPr>
      <t xml:space="preserve"> 生物变生物Creature into Creature。如果你将生物变成另一种生物，则其新形态可以是你选择的挑战等级小于等于目标挑战等级或等级的任何种类。目标的游戏数据被新形态的数据所替代，但目标保留其生命值、生命骰 、阵营、性格。
目标获得等同于新形态生命值的临时生命值 。此法术会在目标已不具有任意来源的临时生命值时提前结束。
该生物只可做出其新形态的生理结构所允许的动作，不能说话也不能施法。
目标的装备融入新形态中。目标不能使用装备或者通过其他方式从装备中获得增益。
　　</t>
    </r>
    <r>
      <rPr>
        <sz val="11"/>
        <color theme="1"/>
        <rFont val="Arial"/>
        <family val="2"/>
      </rPr>
      <t>•</t>
    </r>
    <r>
      <rPr>
        <sz val="11"/>
        <color theme="1"/>
        <rFont val="仿宋"/>
        <family val="3"/>
        <charset val="134"/>
      </rPr>
      <t xml:space="preserve"> 物件变生物Object into Creature。你可以将一个物件变成任何一种符合下列要求的生物：生物的体型不能大于原物件，且生物的挑战等级必须小于等于9。变形出的生物对你和你的同伴保持友善 。而战斗中它将会在你的回合之后立刻进行其回合，且遵循你的命令。
如果该法术持续时间超过1小时，则你将不再控制该生物。此后，该生物将根据你对待它的方式决定是否对你保持友善 。
　　</t>
    </r>
    <r>
      <rPr>
        <sz val="11"/>
        <color theme="1"/>
        <rFont val="Arial"/>
        <family val="2"/>
      </rPr>
      <t>•</t>
    </r>
    <r>
      <rPr>
        <sz val="11"/>
        <color theme="1"/>
        <rFont val="仿宋"/>
        <family val="3"/>
        <charset val="134"/>
      </rPr>
      <t xml:space="preserve"> 生物变物件Creature into Object。 如果你将一名生物变形成一个物件，则它连同其穿着与携带物一起变成新的形态。变成物件的体型不能大于原生物。受术者的数据变成和该物件一样，在法术终止而受术者变回原形后，它将不会记得在变成物件时所发生的任何事情。</t>
    </r>
  </si>
  <si>
    <t>True Polymorph</t>
  </si>
  <si>
    <t>完全复生术</t>
  </si>
  <si>
    <t>一颗价值25000GP+的钻石，作为法术耗材</t>
  </si>
  <si>
    <t>你触碰一名已死，但死亡时间不超过200年，并非死于年老的生物，使其以生命值全满的状态回生。
此法术将治愈该生物身上的所有伤口，中和所有该生物身上的毒素，结束所有该生物身上的魔法疫病，也会移除该生物死亡时仍在生效的所有诅咒。此法术能替换所有受损或失去的器官和肢体。若生物曾是亡灵生物，则其还会恢复到其成为亡灵前的形态。
此法术还能为遗体已不存在的生物使用，并能为它再造一个新的身体。在这种情况下，你必须喊出该生物的名字。之后，该生物将出现在你指定的距你10尺内一处未占据空间中。</t>
  </si>
  <si>
    <t>True Resurrection</t>
  </si>
  <si>
    <t>怪影杀手</t>
  </si>
  <si>
    <t>你尝试在他人的心中创造出虚幻的恐怖之物。以法术范围内你所选择的一点为中心，半径30尺球状区域内的每一个生物进行一次感知豁免。豁免失败时，目标受到10d10点心灵伤害并陷入恐慌状态，持续直至法术结束为止。豁免成功时，目标仅受到一半伤害。
在受恐慌的生物自己的每个回合结束时，该生物可以再进行一次感知豁免。若再次豁免失败，它将受到5d10点心灵伤害。豁免成功时，法术对该目标的效应终止。</t>
  </si>
  <si>
    <t>Weird</t>
  </si>
  <si>
    <t>祈愿术</t>
  </si>
  <si>
    <r>
      <rPr>
        <sz val="11"/>
        <color theme="1"/>
        <rFont val="仿宋"/>
        <family val="3"/>
        <charset val="134"/>
      </rPr>
      <t>祈愿术是凡间生物所能施展的最强大法术。你只需要大声说出自己的愿望就能改变现实世界本身。
法术最基础的用法是用来模仿任意一个八环或更低环阶的法术。如果你以此种方式使用该法术，你不需要满足目标法术所需的任何前提条件（包括有价值的材料成分）就可以让该法术生效。
作为另一种方式，你也可以选择让法术创造下列效应之一：
　　</t>
    </r>
    <r>
      <rPr>
        <sz val="11"/>
        <color theme="1"/>
        <rFont val="Arial"/>
        <family val="2"/>
      </rPr>
      <t>•</t>
    </r>
    <r>
      <rPr>
        <sz val="11"/>
        <color theme="1"/>
        <rFont val="仿宋"/>
        <family val="3"/>
        <charset val="134"/>
      </rPr>
      <t xml:space="preserve"> 创造物件Object Creation。 你创造出一个价值不超过 25000GP 的物件，令其出现在地面上你能看见的一处未占据空间中。该物件不能是魔法物品，其在任意方向上的长度都不能超过300尺。
　　</t>
    </r>
    <r>
      <rPr>
        <sz val="11"/>
        <color theme="1"/>
        <rFont val="Arial"/>
        <family val="2"/>
      </rPr>
      <t>•</t>
    </r>
    <r>
      <rPr>
        <sz val="11"/>
        <color theme="1"/>
        <rFont val="仿宋"/>
        <family val="3"/>
        <charset val="134"/>
      </rPr>
      <t xml:space="preserve"> 即刻治疗Instant Health。你让你自己和至多二十个你可见的生物恢复全部生命值，并且终止它们身上一切在高等复原术greater restoration中列举过的所有效应。
　　</t>
    </r>
    <r>
      <rPr>
        <sz val="11"/>
        <color theme="1"/>
        <rFont val="Arial"/>
        <family val="2"/>
      </rPr>
      <t>•</t>
    </r>
    <r>
      <rPr>
        <sz val="11"/>
        <color theme="1"/>
        <rFont val="仿宋"/>
        <family val="3"/>
        <charset val="134"/>
      </rPr>
      <t xml:space="preserve"> 伤害抗性Resistance。你让至多十个你能看见的生物获得你所指定的一种伤害类型的抗性。此抗性是永久存在的。
　　</t>
    </r>
    <r>
      <rPr>
        <sz val="11"/>
        <color theme="1"/>
        <rFont val="Arial"/>
        <family val="2"/>
      </rPr>
      <t>•</t>
    </r>
    <r>
      <rPr>
        <sz val="11"/>
        <color theme="1"/>
        <rFont val="仿宋"/>
        <family val="3"/>
        <charset val="134"/>
      </rPr>
      <t xml:space="preserve"> 免疫法术Spell Immunity。 你让最多十个你能看见的生物免疫于某道法术或某种其他魔法效应，持续8小时。
　　</t>
    </r>
    <r>
      <rPr>
        <sz val="11"/>
        <color theme="1"/>
        <rFont val="Arial"/>
        <family val="2"/>
      </rPr>
      <t>•</t>
    </r>
    <r>
      <rPr>
        <sz val="11"/>
        <color theme="1"/>
        <rFont val="仿宋"/>
        <family val="3"/>
        <charset val="134"/>
      </rPr>
      <t xml:space="preserve"> 突来学识Sudden Learning。 你将你的一个专长替换为符合条件的另一个专长。你失去旧专长带来的全部好处，并获得新专长的好处。你无法取代作为你其他专长或特性先决条件的专长。
　　</t>
    </r>
    <r>
      <rPr>
        <sz val="11"/>
        <color theme="1"/>
        <rFont val="Arial"/>
        <family val="2"/>
      </rPr>
      <t>•</t>
    </r>
    <r>
      <rPr>
        <sz val="11"/>
        <color theme="1"/>
        <rFont val="仿宋"/>
        <family val="3"/>
        <charset val="134"/>
      </rPr>
      <t xml:space="preserve"> 重新掷骰Roll Redo。你改变一件刚刚发生的事件。重掷前一轮（包括你的上一个回合）到现在期间的任意一次掷骰，并让现实随着你的新掷骰结果改变。例如，祈愿术Wish可以撤销队友的失败豁免或敌人的重击。你可以迫使重新进行的掷骰具有优势或劣势 ，并且可以选择是使用重投后的结果还是使用原来的结果。
　　</t>
    </r>
    <r>
      <rPr>
        <sz val="11"/>
        <color theme="1"/>
        <rFont val="Arial"/>
        <family val="2"/>
      </rPr>
      <t>•</t>
    </r>
    <r>
      <rPr>
        <sz val="11"/>
        <color theme="1"/>
        <rFont val="仿宋"/>
        <family val="3"/>
        <charset val="134"/>
      </rPr>
      <t xml:space="preserve"> 重塑现实Reshape Reality。你可能会许愿一些没有包含在上述效应中的东西。为了做到这样的效果，请尽可能准确地向地下城主描述你的愿望。在这种情况下，地下城主有极高的自由来裁决究竟会发生什么。不过愿望越大，出错的概率就越大。法术可能会直接失败，也可能部分的达成你想要的结果，还有可能因表述愿望时措辞不当而遭到意想不到的结果。例如，许愿让一个坏人死去可能会让你穿越到多年后该人已死的一个时间段，使你相当于离开了游戏一样。此外，许愿获取一件传说中的魔法物品或神器可能会立即将你传送到该物品当前的持有者身边。如果你许的愿望太过庞大，其效应影响到了社群、区域或是世界，你可能会引来强大的敌人。如果你的愿望会影响神，这名神的神仆会立刻干涉，阻止它或是鼓励你以一种特殊的方式许愿。如果你的愿望将会撤销多元宇宙本身，或是威胁到了印记城City of Sigil，或是以某种方式影响到了痛苦女士Lady of Pain ，你的心灵中就会浮现出一段她的影像：她摇了摇自己的脑袋，然后你的愿望失效了。
除了模仿其他法术外，施展该法术以达成的任何其他目的都会使你的身躯承受极大的负担，令你变得无比虚弱。承受负担后，直到你完成长休之前，你每次施展法术时都将受到一定伤害（伤害数值取决于你施展的法术的环阶，每环阶1d10点的暗蚀伤害），此伤害无法被任何方式减免。此外，你的力量属性值将变为3，持续2d4日。这段时间内，你每花一整日休息（不从事轻度活动以外的行为），恢复需要的日数就减少 2 日。最后，承受负担时，你将有33%的概率永远也无法再次施放祈愿术Wish 。</t>
    </r>
  </si>
  <si>
    <t>Wish</t>
  </si>
  <si>
    <t>塔莎腐蚀酿</t>
  </si>
  <si>
    <t>自身(30尺线状)</t>
  </si>
  <si>
    <t>一点腐烂的食物</t>
  </si>
  <si>
    <t>专注,至多1分钟</t>
  </si>
  <si>
    <t>• 一股30尺长，5尺宽的的线状强酸从你的位置向你指定的任意方向喷射而出。在线状区域内的每个生物必须进行一次敏捷豁免，豁免失败者将在法术持续时间内被强酸覆盖，或直到自己或其他生物用一个动作从其身上刮下或者洗下。被强酸覆盖的生物在每个自己回合开始时受到2d4点强酸伤害。
• 升环法术效应。使用2环或更高法术位施展该法术时，你使用的法术位每比1环高一环，法术的伤害就增加2d4。</t>
  </si>
  <si>
    <t>Tasha’s Caustic Brew</t>
  </si>
  <si>
    <t>塔莎的万象坩埚</t>
  </si>
  <si>
    <t>塔莎心灵鞭</t>
  </si>
  <si>
    <t>• 你对施法距离内一个生物进行一次心灵打击。目标必须进行一次智力豁免。豁免失败者受到3d6点心灵伤害，并且直到其下一个回合结束前不能执行反应。此外，在其下一个回合中，他必须选择移动，执行一个动作或执行一个附赠动作；此回合内其只能进行三者之一。豁免成功者所受伤害减半，也不会受到法术的其他效应影响。
• 升环施法效应：使用3环或更高法术位施展该法术时，你使用的法术位每比2环高一环，法术就能多影响一个目标。而各目标之间距离不能超过30尺。</t>
  </si>
  <si>
    <t>Tasha’s Mind Whip</t>
  </si>
  <si>
    <t>智能壁垒</t>
  </si>
  <si>
    <t>专注,至多1小时</t>
  </si>
  <si>
    <t>• 在法术持续时间内，你或一个施法距离内的可见生物获得对心灵伤害的抗性，同时在智力、感知和魅力豁免检定上具有优势。
• 升环施法效应：使用4环或更高法术位施展该法术时，你使用的法术位每比3环高一环，就可以多选择一个生物作为目标。而各目标之间距离不能超过30尺。</t>
  </si>
  <si>
    <t>Intellect Fortress</t>
  </si>
  <si>
    <t>魂灵环绕</t>
  </si>
  <si>
    <t>• 你唤来亡者的魂灵，令它们在法术持续时间内环绕于你的身边。这些魂灵无形且不可伤害。
• 直到法术终止前，你所有命中你10尺内生物的攻击造成1d8点额外伤害。伤害类型为光耀、黯蚀或冷冻（由你在施展法术的时候选择）。任何受到此伤害的生物无法恢复生命值，直到你下回合开始。
• 此外，任何你身边10尺内且你可见的生物回合开始时，你可以使其速度降低10尺，直到你下回合开始。
• 升环施法效应：使用4环或更高法术位施展该法术时，你使用的法术位每比3环高两环，其伤害就增加1d8。</t>
  </si>
  <si>
    <t>Spirit Shroud</t>
  </si>
  <si>
    <t>塔莎超凡形态</t>
  </si>
  <si>
    <t>一件至少价值500gp的镶嵌有外层位面标记的物件</t>
  </si>
  <si>
    <t>• 你念动一段咒语，吸收下层位面或上层位面的魔力（由你选择）并变化自身。你获得以下增益直到法术结束。
→你免疫火焰和毒素伤害（下层位面）或光耀和黯蚀伤害（上层位面）。
→你免疫中毒状态（下层位面）或魅惑状态（上层位面）。
→你背后出现灵体翅膀，赋予你40尺飞行速度。
→你的AC获得+2加值。
→你进行的所有武器攻击都带有魔法，且当你进行一次武器攻击时，你可以用你的施法关键属性代替力量值进行攻击检定和伤害掷骰。
→当你在自己的回合进行攻击动作时，你可以攻击两次而非一次。如果已经有类似的能力给予你额外的攻击次数，例如额外攻击Extra Attack，你无视这项增益。</t>
  </si>
  <si>
    <t>Tasha’s Otherworldly Guise</t>
  </si>
  <si>
    <t>蓝纱一梦</t>
  </si>
  <si>
    <t>20尺</t>
  </si>
  <si>
    <t>源自目标世界的一件魔法物品或一个自愿生物</t>
  </si>
  <si>
    <t>6小时</t>
  </si>
  <si>
    <t>• 你与至多8个自愿生物在法术持续时间内进入昏迷，并梦见物质位面中的另一处世界，比如奥斯、托瑞尔、克莱恩或艾伯伦。如果该法术达到了完整的持续时间，梦境会在你们所有人相遇并拉开一面神秘的蓝色幕帘时停止。该法术随后结束，并将你们在物质和精神上传送到梦境所在的世界。
• 要施展该法术，你必须拥有一件源自目标世界的魔法物品，且你也必须知道这个世界的存在，即便你不知道那个世界的具体名字。你在另一个世界的目的地是该魔法物品创造地点周围1里内的安全地点。此外，如果其中一个受术目标出生在另一个世界，你也可以施展该法术，但目的地变为该生物出生地1里内的安全地点。
• 如果有一个生物受到任何伤害，则此法术在该生物身上提前结束，该生物不会被传送。如果你受到任何伤害，则你和其他所有生物身上的此法术会提前结束，你们都不会被传送。</t>
  </si>
  <si>
    <t>Dream of the Blue Veil</t>
  </si>
  <si>
    <t>灾祸之刃</t>
  </si>
  <si>
    <t>• 你在法术范围内你能看见的一个未被占据的创造出一把形态如同剑一般的，长约3尺的位面裂缝。该剑刃持续存在，直至法术结束。当你施展此法术时，你可以用该剑刃进行至多两次近战法术攻击，每次攻击的目标为位于剑刃5尺内的一个生物、未被携带的物件或建筑。若命中，则目标受到4d12点力场伤害。该攻击在d20投出18或更高时造成重击，并在重击时造成额外4d12点力场伤害（共计12d12点力场伤害）。
• 你可以在自己回合内以一个附赠动作让该武器移动至多30尺到一个你可以看见的未被占据的空间，随后再用其进行两次近战法术攻击。
• 该剑刃可以无害地通过任何屏障，包括一道力场墙。</t>
  </si>
  <si>
    <t>Blade of Disaster</t>
  </si>
  <si>
    <t>闪电牵引</t>
  </si>
  <si>
    <t>• 你创造出鞭状的闪电能量袭向你15尺内可见的一个生物。目标必须进行一次力量豁免，豁免失败则其以直线被你拉近10尺。如果拉近以后目标在你周围5尺内，那么他将受到1d8点闪电伤害。
• 你到达5级时，该法术的伤害增加1d8（变为2d8）。11级时再加1d8（变为3d8），17级时再加1d8（变为4d8）。</t>
  </si>
  <si>
    <t>Lightning Lure</t>
  </si>
  <si>
    <t>剑湾冒险者指南</t>
  </si>
  <si>
    <t>剑刃爆发</t>
  </si>
  <si>
    <t>自身(5尺半径)</t>
  </si>
  <si>
    <t>• 你在瞬间制造出一圈半透明的利刃清扫你的周围。法术范围内除你以外的每一个生物都必须成功通过一次敏捷豁免，否则将受到1d6点力场伤害。
• 你到达5级时，该法术的伤害增加1d6（变为2d6）。11级时再加1d6（变为3d6），17级时再加1d6（变为4d6）。</t>
  </si>
  <si>
    <t>Sword Burst</t>
  </si>
  <si>
    <t>轰雷剑</t>
  </si>
  <si>
    <t>一把至少价值1sp的近战武器</t>
  </si>
  <si>
    <t>• 你挥舞作为法术成分的那把武器，对你周围 5 尺范围内的一个生物发动一次近战武器攻击。如果攻击成功命中，目标会受到这次攻击的正常影响，并被包复在爆破性的能量之中，直到你的下回合开始。如果目标在这之前主动移动了 5 尺或更多，法术效应将立刻结束并使其受到 1d8 雷鸣伤害。
• 这道法术的伤害随着你的等级提升而增加。你到达 5 级时，这次近战攻击将造成额外 1d8 雷鸣伤害，并且目标进行移动时受到的伤害提升为 2d8。两个伤害骰都会在 11 级时增加 1d8（2d8 和 3d8），17 级时再加 1d8（3d8 和 4d8）。</t>
  </si>
  <si>
    <t>Booming Blade</t>
  </si>
  <si>
    <t>翠炎剑</t>
  </si>
  <si>
    <t>• 你挥舞作为法术成分的那把武器，对你周围 5 尺范围内的一个生物发动一次近战武器攻击。如果攻击成功命中，目标会受到这次攻击的正常影响，且你可以让那翠绿色火焰从目标身上飞跃至其 5 尺范围内的另一个你可见的生物。第二个生物受到等同于 你施法属性调整值 点的火焰伤害。
• 这道法术的伤害随着你的等级提升而增加。你到达 5 级时，这次近战攻击将造成额外 1d8 火焰伤害，且第二个目标将受到的伤害提升至 1d8+你的施法主属性调整值。两个伤害骰都会在 11 级时增加 1d8（2d8 和 2d8），17 级时再加 1d8（3d8 和 3d8）。</t>
  </si>
  <si>
    <t>Green Flame Blade</t>
  </si>
  <si>
    <t>控火</t>
  </si>
  <si>
    <t>立即或1小时</t>
  </si>
  <si>
    <t>• 你选择范围内你能看见的，占据5立方尺的非魔法火焰。你以下述方式之一影响此火焰：
• 你立刻令火焰在一个方向上蔓延5尺，如同在新位置处有着木头或其他燃料。
• 你立刻熄灭该空间内的火焰。            、
• 你令火焰产生的明亮和微亮区域的范围加倍或减半，和/或改变其颜色。此种变化持续1个小时。
• 你令火焰产生简单的形象——例如一个生物的模糊影像，一个固定的物体，或一个地点——这样的影像出现在火焰中，如你所愿变化着。这样的形象持续1个小时
• 若你多次施放此法术，你可以令至多3个非立刻的效应同时生效，而你可以以一个动作解除上述的效果之一。</t>
  </si>
  <si>
    <t>Control Flames</t>
  </si>
  <si>
    <t>珊娜萨的万事指南</t>
  </si>
  <si>
    <t>创造篝火</t>
  </si>
  <si>
    <t>• 你在距离之内你能看到的地面上燃起一堆篝火。直到此法术终结，该魔法篝火会占满5立方尺的空间。当你施放此法术时，所有在篝火所在空间的生物必须通过一次敏捷豁免，否则受到1d8点伤害。当生物在一个回合中第一次进入篝火所在的空间，或在篝火所在的空间结束其回合时，其同样必须进行该豁免。
• 篝火可以点燃区域内未被穿戴或者携带的可燃物体。
• 你到达5级时，该法术的伤害增加1d8（变为2d8）。11级时再加1d8（变为3d8），17级时再加1d8（变为4d8）。</t>
  </si>
  <si>
    <t>Create Bonfire</t>
  </si>
  <si>
    <t>霜噬</t>
  </si>
  <si>
    <t>• 你令距离之内，一个你能看见的生物开始结冰。该目标必须进行一次体质豁免检定。若豁免失败，该目标受到1d6点冷冻伤害，并在其下个回合结束前进行的下一次武器攻击检定中得到劣势。
• 你到达5级时，该法术的伤害增加1d6（变为2d6）。11级时再加1d6（变为3d6），17级时再加1d6（变为4d6）。</t>
  </si>
  <si>
    <t>Frostbite</t>
  </si>
  <si>
    <t>舞风</t>
  </si>
  <si>
    <t>• 在距离内的，你能看到的一点上，空气被你掌握，被迫产生了下述效应之一：
• 由你选择的一个中型或更小的生物必须通过一次力量豁免，否则会被你推离5尺。
• 你能制造出小小的空气爆破，足以移动一个未被持握或携带的，不超过5磅的物体。该物体被推离你10尺。以此法产生的力不足以造成伤害。
• 你利用空气制造出无害的感官感受，例如令树叶沙沙作响，令百叶窗闭合，或你的衣服在微风中摆动。</t>
  </si>
  <si>
    <t>Gust</t>
  </si>
  <si>
    <t>虫群孳生</t>
  </si>
  <si>
    <t>一只活跳蚤</t>
  </si>
  <si>
    <t>• 你令一个处于距离内、你能看见的生物身上暂时性的出现螨虫、跳蚤、和其他寄生虫。目标必须通过一次体质豁免，否则受到1d6点毒素伤害并且向着一个随机的方向移动5尺，只要它可以移动并且有至少5尺的速度。投1d4决定方向：1，北；2，南；3，东；4，西。这个移动不会提供借机攻击，并且如果移动的方向被阻挡，目标将不会移动。
• 此法术的伤害在你达到5级（2d6），11级（3d6），和17级（4d6）时提高1d6点。</t>
  </si>
  <si>
    <t>Infestation</t>
  </si>
  <si>
    <t>魔石</t>
  </si>
  <si>
    <t>触及</t>
  </si>
  <si>
    <t>• 你接触一到三块小石块，向其中注入魔法的力量。你或其他人可以通过徒手或使用投石索来投掷小石块之一以进行一次远程法术攻击。若徒手投掷，其射程为60尺。若除你之外的其他人使用小石块进行攻击，攻击者在其攻击检定中加上你的施法属性调整值，而非攻击者的。若击中，目标受到1d6+你的施法属性调整值点数点钝击伤害。无论击中与否，在那块石块上的魔法都会消失。
• 若你再次释放此法术，此法术先前释放时，在受到影响的石块上的效果会提前结束。</t>
  </si>
  <si>
    <t>Magic Stone</t>
  </si>
  <si>
    <t>塑土</t>
  </si>
  <si>
    <t>• 你选择距离之内，你能看见的，占满5立方尺空间的一堆泥土或一块岩石。你可以用以下方式之一对其进行改变：
• 若你指向一片松散的土壤，你可以立刻挖开它，令其沿着地表行进，被运离到至多5尺之外的地方。这种移动的力量不足以造成伤害。
• 你让泥土或岩石的形状，和/或颜色发生改变，写出文字，画出图案或雕出图纹。这种变化持续1个小时。
• 若你指定的泥土或岩石在地表上，你可以令其成为困难地形。作为另一种选项，你亦可以令已经是困难地形的地表区域成为正常地形。这种变化持续1个小时。
• 若你多次施放此法术，你可以同时维持至多两个非立即的效果生效，你也可以以一个动作解消上述效应之一。</t>
  </si>
  <si>
    <t>Mold Earth</t>
  </si>
  <si>
    <t>原初蛮击</t>
  </si>
  <si>
    <t>• 你的牙齿或指甲变得长而尖锐，从而准备好发起酸蚀性的打击。对一个处于你周围5尺内的生物进行一次近战法术攻击。命中则目标受到1d10点强酸伤害。在你进行此攻击后，你的牙齿或指甲恢复正常。
• 此法术的伤害在你达到5级（2d10），11级（3d10），和17级（4d10）时提高1d10点。</t>
  </si>
  <si>
    <t>Primal Savagery</t>
  </si>
  <si>
    <t>操水</t>
  </si>
  <si>
    <t>• 你选定距离之内，你能看见的一处占据5立方尺的水体。你能以下述方式之一来对其进行操控：
• 你立即在你选定的方向上，造成或改变水的流动，至多在任意方向上改变5尺。此种运动的力量不足以造成伤害。
• 你令水体呈现出简单的形状，随你的意愿而运动。这种变化持续1个小时。
• 你改变了水体的颜色或透明度。水体必须被整体性的改变。此种变化持续1个小时。
• 你冻结了水，只要其中没有生物。水会在1小时内解冻。
• 若你多次施放此法术，你可以同时维持至多两个非立即的效果生效，你也可以以一个动作解消上述效应之一。</t>
  </si>
  <si>
    <t>Shape Water</t>
  </si>
  <si>
    <t>吸收元素</t>
  </si>
  <si>
    <t>1反应，于你受到强酸、冷冻、火焰、闪电、或雷鸣伤害时进行</t>
  </si>
  <si>
    <t>• 此法术捕获了部分袭来的能量，减轻它对你的效果，并将之储存起来以用在你的下一次近战攻击中。在你的下个回合的开始之前，你对于触发法术的伤害类型具有抗性。此外，在你的下个回合，第一次以近战攻击命中时，目标额外受到1d6点触发法术的伤害类型的伤害，同时此法术终结。
• 升环施法效应：当你使用2环或更高的法术位施放该法术时，使用的法术位每高一环，额外伤害便增加1d6。</t>
  </si>
  <si>
    <t>Absorb Elements</t>
  </si>
  <si>
    <t>兽之联结</t>
  </si>
  <si>
    <t>一小块被布包裹的毛皮</t>
  </si>
  <si>
    <t>专注,至多10分钟</t>
  </si>
  <si>
    <t>• 你和一个你接触的，对你友好或被你魅惑的野兽建立起一道心灵链接。若该野兽的智力不低于4，则此法术失败。直到法术终结，只要你和该野兽相互处于彼此的视觉线内，此链接便处于活动状态。通过此链接，该野兽可以理解你以心灵感应传递的信息，而其也会以心灵感应向你传递其基本的情绪和意愿。只要此链接处于激活状态，该野兽在对你周围5尺，你能看见的任何生物所进行的攻击检定中获得优势。</t>
  </si>
  <si>
    <t>Beast Bond</t>
  </si>
  <si>
    <t>弹射</t>
  </si>
  <si>
    <t>• 选择距离之内，一个未被穿戴或持握的，重量为1到5磅的物体。此目标在你选择的一个方向上以直线轨迹飞行，在落到地面前至多行进90尺，若其在此过程中撞击到了固体表面则会提前停止运动。若该物体将会撞击一个生物，该生物必须进行一次敏捷豁免检定，豁免失败该物体击中该生物并不再移动。目标被击中后，它与该物体各受到3d8点钝击伤害。
• 升环施法效应：当你使用2环或更高的法术位施放该法术时，使用的法术位每高一环，你可以指定的物体的重量上限便增加5磅，而造成的伤害便提高1d8。</t>
  </si>
  <si>
    <t>Catapult</t>
  </si>
  <si>
    <t>造成恐惧</t>
  </si>
  <si>
    <t>• 你唤醒了一个处于距离内、你能看见的生物内心的凡性。此法术对于构装生物或不死生物无效。目标必须通过一次感知豁免检定，否则在持续时间内陷入恐慌状态。被恐惧的生物可以在它的每个回合结束时重复进行这个豁免检定，若成功将结束法术对自身的效果。
• 升环施法效应：当你使用2环或更高的法术位施放该法术时，使用的法术位每高一环，你就可以多指定一个额外生物作为目标。每个被你指定的生物相互之间的距离必须在30尺内。</t>
  </si>
  <si>
    <t>Cause Fear</t>
  </si>
  <si>
    <t>典礼术</t>
  </si>
  <si>
    <t>至少价值25gp的银粉，作为此法术的耗材</t>
  </si>
  <si>
    <t>• 你进行几种宗教典礼之一。当你施展此法术时，选择下述典礼之一，其目标必须在施法过程中处于你周围10尺内。
• 赎罪Atonement：你接触一个阵营发生了改变的自愿生物，而你进行一次DC20的感知（洞悉）检定。成功则你令目标恢复其原始阵营。
• 祝福圣水Bless Water：你接触一瓶水并将它转变为圣水。
• 成人礼Coming of Age：你接触一个年龄足够成年的类人生物。在接下来的24小时内，当目标进行一次属性检定时，它可以投d4并将投出的结果加到属性检定上。一个生物只能从此仪式中获得此增益一次。
• 献身Dedication：你接触一个自愿转变为你的宗教的信仰或想要为你信奉的神明服务的类人生物。在接下来的24小时内，当目标进行一次豁免检定时，它可以投d4并将投出的结果加到检定上。一个生物只能从此仪式中获得此增益一次。
• 葬礼Funeral Rite：你祝福一具处于你周围5尺内的尸体。在接下来的7天内，目标不能被任何弱于祈愿术wish的方式变为不死生物。
• 婚礼Wedding：你接触自愿接受婚姻的束缚的成年类人生物。在接下来的7天内，每个目标若处于彼此30尺范围内，则在AC上获得+2加值。一个生物只有在丧偶时才能再次从这个仪式中受益。</t>
  </si>
  <si>
    <t>Ceremony</t>
  </si>
  <si>
    <t>混乱箭</t>
  </si>
  <si>
    <t>• 你向着距离内的一个生物掷出一团变化不定、高声尖鸣的混乱能量。对目标进行一次远程法术攻击。击中时，目标受到2d8+1d6点伤害。选择一颗d8投出的数字来决定它的伤害类型：1强酸，2冷冻，3火焰，4力场，5闪电，6毒素，7精神，8雷鸣。
• 若你的两颗d8投出了相同的数字，混乱能量将从目标跳跃到一个由你选择的、处于它周围30尺内的其他生物上。对新目标进行一次新的攻击检定，进行新的伤害检定，这次伤害检定也可能令混沌能量跳跃。
• 一个生物只能被此混乱箭选作目标一次。
• 升环施法效应：当你使用2环或更高的法术位施展此法术时，每个生物受到额外伤害，类型与投出的一致。额外伤害等于高于1环的每个等级1d6点。</t>
  </si>
  <si>
    <t>Chaos Bolt</t>
  </si>
  <si>
    <t>地颤</t>
  </si>
  <si>
    <t>自身(10尺半径)</t>
  </si>
  <si>
    <t>• 你在施法距离内引发地面颤动。处于该区域，除你之外的其他生物必须进行一次敏捷豁免检定。若检定失败，该生物受到1d6点钝击伤害并应击倒地。若区域的地表为松软的土壤或石头，其在被清理之前成为困难地形。每5尺直径的部分都需要至少1分钟来手动清理。
• 升环施法效应：当你使用2环或更高的法术位施放该法术时，使用的法术位每高一环，伤害便增加1d6。</t>
  </si>
  <si>
    <t>Earth Tremor</t>
  </si>
  <si>
    <t>• 你制造出一块冰晶裂片，并将它射向距离内的一个生物。你对目标进行一次远程法术攻击。若击中，目标受到1d10点穿刺伤害。无论击中与否，裂片都会在之后爆裂。目标和周围5尺范围内的每个生物必须通过一次敏捷豁免检定，否则受到2d6点冷冻伤害。
• 升环施法效应：当你使用2环或更高的法术位施放该法术时，使用的法术位每高一环，冷冻伤害便增加1d6点。</t>
  </si>
  <si>
    <t>魔法圈套</t>
  </si>
  <si>
    <t>25尺的线绳，作为此法术的耗材</t>
  </si>
  <si>
    <t>• 当你施展此法术时，用线绳在一处处于你触及内的地面或地板上创造一个5尺半径的圆圈。当你完成施法时，线绳消失，化为一个魔法陷阱。
• 陷阱几乎是隐形的，要找到它需要一次成功的对抗你的法术豁免DC的智力（调查）检定。
• 当一个小型、中型或大型的生物移动进入受到此法术保护的区域时，陷阱就会触发。触发的生物必须通过一次敏捷豁免检定否则摔倒、应击倒地，并被魔法性地上下颠倒的举到半空中，直到它距离被保护的地面或地板3尺高。生物被束缚在那里直到法术结束。
• 被束缚的生物可以在其每个回合的结束时进行一次敏捷豁免检定，成功则结束被束缚。或者，其他能触及被束缚的生物可以进行一次智力（奥秘）检定，对抗你的法术豁免DC。成功则束缚的效果也会结束。
• 在陷阱被触发之后，当没有生物被它束缚时，法术将会结束。</t>
  </si>
  <si>
    <t>Snare</t>
  </si>
  <si>
    <t>西风打击</t>
  </si>
  <si>
    <t>• 你行动如风。在持续时间内，你的移动不会导致借机攻击。
• 此外，在此法术结束前仅一次，你可以在自己的回合让自己的一次武器攻击检定获得优势。这次攻击若击中会造成额外1d8力场伤害。无论你是否击中，你的步行速度都会增加30尺，直到这个回合结束。</t>
  </si>
  <si>
    <t>Zephyr Strike</t>
  </si>
  <si>
    <t>阿迦纳萨喷火术</t>
  </si>
  <si>
    <t>一片红龙的鳞片</t>
  </si>
  <si>
    <t>• 一道长30尺，宽5尺的翻涌火线从你向一个你选定的方向蔓延。在该线中的生物必须进行一次敏捷豁免检定。豁免失败的生物受到3d8点火焰伤害，而豁免成功则只受到上述伤害的一半。
• 升环施法效应：当你使用3环或更高的法术位施放该法术时，使用的法术位每高一环，伤害便增加1d8。</t>
  </si>
  <si>
    <t>Aganazzar's Scorcher</t>
  </si>
  <si>
    <t>一枚辣椒</t>
  </si>
  <si>
    <t>• 你触碰一个自愿生物，使它能喷吐出魔法能量，只要它拥有一张嘴。选择强酸、冷冻、火焰、闪电或毒素中的一种。直到法术结束前，生物可以使用一个动作放射出15尺锥形的对应能量。区域内的每个生物必须进行敏捷豁免检定，若失败将受到3d6对应能量类型的伤害，成功则只承受一半伤害。
• 升环施法效应：当你使用3环或更高的法术位施放该法术时，使用的法术位环阶每高一环，伤害就增加1d6。</t>
  </si>
  <si>
    <t>尘土恶魔</t>
  </si>
  <si>
    <t>一捧尘土</t>
  </si>
  <si>
    <t>• 选择施法距离之内，你能看见的一个5尺立方的，未被占据的空气。一股外观如同尘卷风的元素出现在那里，并在法术的持续时间内持续存在。
• 任何在尘卷风周围5尺范围内结束其回合的生物必须进行一次力量豁免检定。若检定失败，该生物受到1d8点钝击伤害并被推离10尺。若检定成功，该生物只受到上述伤害的一半，并不会被推离。
• 以一个附赠动作，你可以让尘卷风向任意方向移动至多30尺。若尘卷风移动时经过了沙子，尘土，松软的土壤或小砂砾，它将会卷起这些物质，在自身周围形成10尺半径的残骸云，持续到你下个回合的开始。残骸云对所在区域造成重度遮蔽。
• 升环施法效应：当你使用3环或更高的法术位施放该法术时，使用的法术位每高一环，伤害便增加1d8。</t>
  </si>
  <si>
    <t>Dust Devil</t>
  </si>
  <si>
    <t>地缚</t>
  </si>
  <si>
    <t>• 选择距离内你能够看到的一个生物。黄色的魔法能量线缠绕着该生物。该目标必须成功通过一次力量豁免，否则其飞行速度（若有的话）在法术的持续时间内降为0尺。受到此法术影响的飞行中的生物以每轮60尺的速度安全降落，直到其撞到地面或法术终结。</t>
  </si>
  <si>
    <t>Earthbind</t>
  </si>
  <si>
    <t>治愈之魂</t>
  </si>
  <si>
    <t>• 你召唤出自然精魂抚慰伤员。这个无形的精魂出现在施法距离内你可以看见的一处5尺立方空间。精魂看起来像是透明的野兽或是妖精（由你选择）。
• 直到法术结束之前，每次你或者一个你可以看见的生物在回合里第一次进入精魂所占据的空间，或是在其中开始它的回合，你都可以让精魂为它恢复1d6点生命值（无需动作）。精魂不能治疗构装体或不死生物。此法术最大治疗次数为1+施法属性调整值次（最少两次）。
• 在你的回合中以一个附赠动作，你可以移动精魂30尺至你可以看见的另一个空间。
• 升环施法效应：当你使用3环或更高的法术位施放该法术时，使用的法术位每高一环，治疗值就增加1d6点。</t>
  </si>
  <si>
    <t>Healing Spirit</t>
  </si>
  <si>
    <t>麦克斯米利安的地之攫</t>
  </si>
  <si>
    <t>一个由陶土雕塑成的手的模型</t>
  </si>
  <si>
    <t>• 你选择距离内，你能看见的，地面上的一处5平方尺，未被占据的空间。一只由坚实的土壤形成的中型手掌出现在那里，并伸向它周围5尺内，一个你能看见的生物。该目标必须进行一次力量豁免检定。若检定失败，该生物受到2d6点伤害并在法术的持续时间内被束缚。
• 以一个动作，你可以令手掌挤压被束缚的生物，其必须进行一次力量豁免检定。若检定失败，其受到2d6点钝击伤害。检定成功则只受到上述伤害的一半。
• 要逃离束缚，被束缚的生物可以进行一次力量检定来对抗你的法术豁免DC。若成功，该生物得以逃脱，不再被手掌束缚。
• 以一个动作，你可以令手掌伸向一个其他生物，或移动到距离之内一处未被占据的其他空间。这种指令会让手掌放开被它束缚的生物。</t>
  </si>
  <si>
    <t>Maximilian's Earthen Grasp</t>
  </si>
  <si>
    <t>• 你接触施法距离内一个你可见生物的内心。目标必须进行感知豁免检定，若失败会受到3d8心灵伤害，成功则只承受一半。在目标豁免失败时，你在法术结束之前能时刻得知目标所在的位置，只要你们还处于同一位面上。当你拥有这个信息时，目标将不能对你躲藏，并且如果它隐形了，在对抗你时它不能从这个状态中受益。
• 升环施法效应：当你使用3环或更高的法术位施放该法术时，使用的法术位每高一环，伤害就增加1d8。</t>
  </si>
  <si>
    <t>烟火</t>
  </si>
  <si>
    <t>• 选择距离之内，你能看见的一处占满5立方尺区域的非魔法火焰。你可以熄灭区域内的火焰，或者你可以制造出焰火或浓烟。
• 焰火Fireworks：目标伴随着炫目的彩色光芒爆炸。在目标周围10尺范围内的生物必须通过一次体质豁免检定，否则在直到你的下个回合结束前的时间里处于目盲状态。
• 浓烟Smoke：目标散发出浓重的黑烟，蔓延在20尺半径的区域内，可绕过角落。烟雾所在的区域处于重度遮蔽状态。浓烟将持续1分钟或直到被强风吹散。</t>
  </si>
  <si>
    <t>Pyrotechnics</t>
  </si>
  <si>
    <t>幽影刃</t>
  </si>
  <si>
    <t>• 你将幽影交织成手中实化的剑。该魔法剑持续到法术结束。它被视为你具有熟练项的简易近战武器，命中时造成2d8心灵伤害，并具有灵巧、轻型和投掷特性（射程20/60)。当你用该剑攻击微亮光照或黑暗中的目标时，你进行的攻击检定具有优势。
• 如果你放下或投掷该武器，它将在该回合结束时消散。其后，如法术持续，你能以一个附赠动作使该剑重现于你手中。
• 升环施法效应：当你用3-4环施放该法术时，其伤害增加到3d8。5-6环时增加到4d8。7环或以上则增加到5d8。</t>
  </si>
  <si>
    <t>Shadow Blade</t>
  </si>
  <si>
    <t>写入空中</t>
  </si>
  <si>
    <t>视野内</t>
  </si>
  <si>
    <t>• 你令你能看见的天空中的一个部分出现至多10个字。文字看起来是由云彩构成的，并在法术的持续时间内留在原位。文字将会在法术终结时消失。强风可以吹散云彩，令法术提前终止。</t>
  </si>
  <si>
    <t>Skywrite</t>
  </si>
  <si>
    <t>史尼洛雪球群</t>
  </si>
  <si>
    <t>一块冰或一小块白色岩石碎片</t>
  </si>
  <si>
    <t>• 在距离之内的，一个由你指定的点上，大量的魔法雪球喷涌而出。以该点为中心，5尺半径的球形区域内的所有生物必须进行一次敏捷豁免检定。检定失败则受到3d6点冷冻伤害，成功者只受到上述伤害的一半。
• 升环施法效应：当你使用3环或更高的法术位施放该法术时，使用的法术位每高一环，伤害便增加1d6。</t>
  </si>
  <si>
    <t>Snilloc's Snowball Swarm</t>
  </si>
  <si>
    <t>守护之风</t>
  </si>
  <si>
    <t>• 一阵强风（风速每小时20尺）在你周围10尺半径内回旋并能随着你移动，始终以你为中心。这股风将在法术的持续时间内持续存在。
• 这股风具有如下效果：
  它会令你和其他区域内的生物耳聋。
  它会令区域内，不大于火炬的未受保护的火焰熄灭。
  它可以隔离那些能够被强风吹散的毒气，瓦斯和雾气。
  区域对于除你之外的生物是困难地形。
  若远程武器攻击进入或离开风区，其攻击检定得到劣势。</t>
  </si>
  <si>
    <t>Warding Wind</t>
  </si>
  <si>
    <t>假寐术</t>
  </si>
  <si>
    <t>一撮沙子</t>
  </si>
  <si>
    <t>• 你做一个使人平静的手势，在施法距离内，你选择最多3名你可以看见的自愿生物在法术持续时间中进入昏迷状态。如果生物受到伤害或者某人使用动作将他摇醒，对于那个目标法术会提前结束。如果目标在整个持续期间都保持昏迷，目标会得到一次短休的增益，但是在完成一次长休之前将不能再受到该法术的影响。
• 升环施法效应：当你使用4环或更高的法术位施放该法术时，使用的法术位每高一环，你就可以多指定一个额外的自愿生物作为目标。</t>
  </si>
  <si>
    <t>Catnap</t>
  </si>
  <si>
    <t>敌群环绕</t>
  </si>
  <si>
    <t>• 你接触一个可见生物的思想并迫使它进行一次智力豁免检定。免疫恐慌的生物自动通过此豁免。若豁免失败，目标失去从敌人中辨别友伴的能力，将所有可见的生物识别为敌人直到法术结束。每次目标受到伤害时它都可以重复进行此豁免，若成功将结束它对自己的效果。
• 每当受影响的生物选择另一个生物作为目标时，它必在攻击、法术或其他可用能力的范围里，从所有可见目标中随机选择目标。如果一名敌人提供了借机攻击的机会给受术生物，生物必须进行攻击，只要它有能力这么做。</t>
  </si>
  <si>
    <t>Enemies Abound</t>
  </si>
  <si>
    <t>土石喷发</t>
  </si>
  <si>
    <t>一块黑曜石</t>
  </si>
  <si>
    <t>• 选择距离内你能看见的，位于地面上的一点。以该点为中心，20尺立方的空间内，一道翻滚的泥土和岩石流喷发而出。在该区域中的每个生物必须进行一次敏捷豁免检定。若未通过豁免，该生物受到3d12点钝击伤害，成功的豁免令上述伤害减半。此外，该区域的地面成为困难地形直到被清理。该区域每5平方尺的空间，若用手来清理至少需要1分钟时间。
• 升环施法效应：当你使用4环或更高的法术位施放该法术时，使用的法术位每高一环，伤害便增加1d12。</t>
  </si>
  <si>
    <t>Erupting Earth</t>
  </si>
  <si>
    <t>火箭</t>
  </si>
  <si>
    <t>• 你接触一个装有箭矢或弹药的箭袋。当一个目标被从箭袋中取出的弹药进行的远程武器攻击击中时，该目标额外受到1d6点火焰伤害。弹药上法术的魔力将在其击中或未击中目标时消失，而法术将在从箭袋中取出十二发弹药后终结。
• 升环施法效应：当你使用4环或更高的法术位施放该法术时，使用的法术位每高一环，你能以此法术影响的弹药的数量便增加2发。</t>
  </si>
  <si>
    <t>Flame Arrows</t>
  </si>
  <si>
    <t>生命转换</t>
  </si>
  <si>
    <t>• 你牺牲自己的部分健康来修复其他生物的伤口。你受到4d8无视伤害抗性与伤害免疫点黯蚀伤害，同时施法距离内一个由你选择的可见生物恢复生命值，数值等于你承受点黯蚀伤害的两倍。
• 升环施法效应：当你使用4环或更高的法术位施放该法术时，使用的法术位每高一环，黯蚀伤害就增加1d8。</t>
  </si>
  <si>
    <t>Life Transference</t>
  </si>
  <si>
    <t>马友夫微流星</t>
  </si>
  <si>
    <t>由松木盛着的硝石和硫磺，外形为小珠子</t>
  </si>
  <si>
    <t>• 你在你所在的空间内制造出六颗微型流星。它们会悬浮在空气中，在法术的持续时间内以你为中心绕转。当你释放此法术——及在你之后的每个回合中通过使用一个附赠动作——你能释放一到两颗流星，让它们袭击你周围120尺范围内的一点。一旦流星到达目的地，或是撞击到了固体表面，它会发生爆炸。在流星爆炸点周围5尺的生物均必须进行一次敏捷豁免检定。检定失败者受到2d6点火焰伤害，检定成功则只受到上述伤害的一半。
• 升环施法效应：当你使用4环或更高的法术位施放该法术时，使用的法术位每高一环，创造出的流星数量就增加两颗。</t>
  </si>
  <si>
    <t>Melf's Minute Meteors</t>
  </si>
  <si>
    <t>召唤次级恶魔</t>
  </si>
  <si>
    <t>来自一个于24小时之内被杀的类人生物身上的一剂血液</t>
  </si>
  <si>
    <t>• 你吐出污秽的词语，从无底深渊的无尽混沌中召唤来恶魔。遵从下表Roll点来决定什么生物出现。
    D6    被召唤的恶魔
    1-2   2个挑战等级为1或更低的恶魔
    3-4   4个挑战等级为1/2或更低的恶魔
    5-6   8个挑战等级为1/4或更低的恶魔
• DM选择恶魔的种类，例如原魔Manes或者怯魔dretches，然后你选择施法距离内可见的未被占据空间让它们出现。被召唤的恶魔在生命值降低为0或法术结束时消失。
• 恶魔对包括你在内的所有生物抱有敌意。它们拥有自己的回合，将它们整体视作一组来投掷先攻。恶魔会花费它的回合用于追逐和攻击最近的非恶魔生物，尽其所能。
• 作为施放此法术的一部分，你可以使用作为施法材料的血液在地上绘制一个法阵。法阵大到可以包括你在的空间。在法术的持续时间内，被召唤来的恶魔无法穿过或伤害法阵，也无法以其中的任何人作为目标。用这种方式使用的施法材料会在法术结束时被消耗。
• 升环施法效应：当你使用6环或7环的法术位施放该法术时，被召唤的恶魔数量变为两倍。当你使用8环或9环的法术位施放该法术时，被召唤的恶魔数量变为三倍。</t>
  </si>
  <si>
    <t>Summon Lesser Demon</t>
  </si>
  <si>
    <t>雷霆步</t>
  </si>
  <si>
    <t>• 你传送到施法距离内一处未被占据的可见空间。在你消失的瞬间，雷鸣般的爆发声响起。在你离开的空间周围10尺内的每个生物必须进行体质豁免检定，失败将受到3d10雷鸣伤害，成功则只承受一半。该法术会发出方圆300尺内都能听见的雷霆巨响。
• 你可以带走物体只要它们没有超过你能承载的重量。你也可以传送一个与你体型相仿或是比你更小的自愿生物，而它所携带的装备也不能超过他的负重。这个生物必须在你施展法术时处于5尺内，并且在你的目的地周围5尺必须要有一个未被占据的空间以让它到达；否则这个生物将被留下。
• 升环施法效应：当你使用4环或更高的法术位施放该法术时，使用的法术位每高一环，伤害就会增加1d10。</t>
  </si>
  <si>
    <t>Thunder Step</t>
  </si>
  <si>
    <t>潮涌</t>
  </si>
  <si>
    <t>一滴水</t>
  </si>
  <si>
    <t>• 你召唤出浪潮拍打距离之内的区域。区域的长度至多为30尺，宽度至多为10尺，高度至多为10尺。在区域内的每个生物均必须进行一次敏捷豁免检定。若检定失败，该生物受到4d8点钝击伤害并应击倒地。检定成功则只受到上述伤害的一半，且不会摔倒。之后，水会沿着地表向四周流去，熄灭区域内和周围30尺内所有未受保护的火焰，而后消失不见。</t>
  </si>
  <si>
    <t>Tidal Wave</t>
  </si>
  <si>
    <t>迷你仆役</t>
  </si>
  <si>
    <t>• 你接触一个微型的非魔法物体，它没有附在另一个物体或表面之上，也没有被其他生物所携带。目标被活化并长出细小的胳膊和腿脚，并成为处于你控制之下的生物，直到法术结束或者降低至0HP。参考以下版块得知它的数据。
• 以一个附赠动作，你可以对这个生物发出精神命令，只要它在你周围120尺范围内（如果你通过该法术控制了多个生物，你可以同时命令它们，对其中的每一个发布同样的指令）。你决定这个生物在下一回合自愿采取的动作和自愿进行的移动，或者你也可以发布一个简单的、综合的命令，例如去拿起钥匙、站着放哨、堆叠书本。如果你不发布命令，仆役除了保护自己对抗敌对生物以外什么也不会做。一旦得到一个命令，仆役会继续服从命令行动直到工作完成。
• 当这个生物的生命值降低至0点，它恢复至原来的形态，并且任何剩余的伤害会由那个形态承担。
• 升环施法效应：当你使用4环或更高的法术位施放该法术时，使用的法术位每高一环，你可以额外活化两个物体。
    迷你仆役 Tiny Servant
    微型构装生物，无阵营
    AC 15（天生护甲）
    HP 10（4d4）
    速度30尺，攀爬30尺
    力量 4（-3）  敏捷16（+3）  体质10（+0）
    智力 2（-4）  感知10（+0）  魅力 1（-5）
    伤害免疫：毒素，心灵
    状态免疫：目盲，魅惑，耳聋，力竭，恐慌，麻痹，石化，中毒
    感官：盲视60尺（对超过半径的区域目盲），被动察觉10
    语言：-
    动作：
    挥击，近战武器攻击：命中+5，触及5尺，单一目标。伤害：5（1d4+3）钝击伤害</t>
  </si>
  <si>
    <t>Tiny Servant</t>
  </si>
  <si>
    <t>沙墙术</t>
  </si>
  <si>
    <t>一捧沙</t>
  </si>
  <si>
    <t>• 你在距离内你能看到的地表的一点上召唤出由舞动的沙子构成的墙体。你可以制造出的墙体长度至多为30尺，高度至多为10尺，厚度至多为10尺。其将在法术终结时消失。它能阻挡视线，但无法阻挡移动。处于墙体所在的空间内的生物目盲，在其中移动时，每移动1尺需要消耗3尺的移动力。</t>
  </si>
  <si>
    <t>Wall of Sand</t>
  </si>
  <si>
    <t>水墙术</t>
  </si>
  <si>
    <t>• 你在距离内你能看到的地表的一点上召唤出由水构成的墙体。你可以制造出的墙体长度至多为30尺，高度至多为10尺，厚度至多为1尺。或者你也可以制造出直径至多为20尺的环形墙体，高度至多为20尺，厚度至多为1尺。该墙体将在法术终结时消失。该墙体所在的区域是困难地形。
• 任何进入墙体所在空间的远程武器攻击在攻击检定中具有劣势，而穿过墙体到达其目标的火焰效果所造成点火焰伤害将减半。造成冷冻伤害的法术若穿过墙体会令穿过的部分被冻结（至少5平方尺的空间被冻结）。每个被冻结的5平方尺的方格具有AC5和15点生命值。令一块被冻结的区域生命值降为0将摧毁它。当一个部分被摧毁时，墙体的水不会填补其位置。</t>
  </si>
  <si>
    <t>Wall of Water</t>
  </si>
  <si>
    <t>• 你尝试魅惑施法距离内的某个你能看见的生物。该生物必须进行一次感知豁免。如果你或你的同伴正在和该生物战斗，则该生物进行该豁免时具有优势。如果豁免失败，则该生物被你魅惑至法术终止，或者直到你或你的同伴对他做出伤害行为为止。此间，被魅惑的生物将视你为友方且熟悉的人。法术终止后，该生物将会发觉曾被你魅惑过。
• 升环施法效应：使用5环或更高法术位施展该法术时，你使用的法术位每比4环高一环，法术就能多影响一个目标。而各目标之间距离不能超过30尺。</t>
  </si>
  <si>
    <t>元素灾厄</t>
  </si>
  <si>
    <t>• 指定施法距离内至多一个你能看见的生物，选择下述伤害类型之一：强酸，冷冻，火焰，闪电或雷鸣，并迫使目标进行一次体质豁免检定。豁免失败者直至法术终止前，每回合第一次受到选定类型的伤害时，目标额外受到2d6点对应类型的伤害。此外，直到法术终止，该目标失去对该伤害类型的任何抗性。
• 升环施法效应：使用5环或更高法术位施放该法术时，你使用的法术位每比4环高一环，就能多指定一个目标。而各目标之间距离不能超过30尺。</t>
  </si>
  <si>
    <t>Elemental Bane</t>
  </si>
  <si>
    <t>召唤高等坐骑</t>
  </si>
  <si>
    <t>• 你召唤一个圣魂并呈现出忠诚的、雄伟的坐骑外观。坐骑显现在施法距离内未被占据的空间，其外形由你从以下形态中选择：狮鹫Griffon、飞马Pegasus、鹿鹰兽Peryton、恐狼Dire Wolf、犀牛Rhinoceros或者剑齿虎Saber-toothed Tiger（DM也可以允许你选择其他动物作坐骑）。坐骑拥有你所选形态的属性数据，但他实际上属于天界生物，精类生物或邪魔的一种（由你选择）而不是通常类型。另外，如果你的坐骑智力为5或更低，则其智力变为6，同时能听懂一门你掌握的语言。
• 不管是否在战斗中，坐骑都能为你提供帮助，而你们之间的契约让你们行动更为紧密。你乘上该坐骑时，所有你施展的只以自身为目标的法术同时也影响该坐骑。
• 该坐骑生命值降至0时消失不见，且不留下任何物质残余。你也可以随时用一个动作解散该坐骑使其消失。此后，每当你重新施展该法术时，将满生命值的召唤同一匹坐骑显现。
• 坐骑在你身边1里内时，你可以与其以心灵感应的方式进行交流。
• 你不能用该法术同时拥有一匹以上的坐骑，你可以随时用一个动作将坐骑从契约中解放，并使其消失不见。</t>
  </si>
  <si>
    <t>Find Greater Steed</t>
  </si>
  <si>
    <t>自然守卫</t>
  </si>
  <si>
    <t>• 自然之魂回应你的呼唤并将你转变为一个强大的守卫。转变持续到法术结束。你选择以下形态之一取得：原始猛兽或战争巨树。
• 原始猛兽Primal Beast：如野兽般的皮毛覆盖你的身体，你的面部特征变得野性，并且你得到以下增益：
  你的步行速度增加10尺。
  你得到120尺的黑暗视觉。
  你基于力量的攻击检定具有优势。
  你的近战武器攻击在击中时会造成额外1d6力场伤害。
• 战争巨树Great Tree：你的皮肤出现树纹，枝叶从你的头发上萌芽，并且你得到以下增益：
  你得到10点临时生命值。
  你的体质豁免检定具有优势。
  你基于敏捷或基于感知的攻击检定具有优势。
  当你在地面上时，你周围15尺的地面对于你的敌人而言是困难地形。</t>
  </si>
  <si>
    <t>Guardian of Nature</t>
  </si>
  <si>
    <t>莫伊之影</t>
  </si>
  <si>
    <t>至少价值150gp的镶嵌在宝石里的不死生物的眼睛</t>
  </si>
  <si>
    <t>• 如同火焰般的暗影完全笼罩住你的身体，使你对于其他人处于重度遮蔽，直到法术结束。
• 暗影将你周围10尺内的微光照明转变为黑暗，或者把同样区域的明亮照明转变为微光。直到法术结束之前，你得到对光耀伤害的抗性。此外，不论何时在你周围10尺内的生物用攻击命中你时，暗影会猛击那个生物，对他造成2d8点黯蚀伤害。</t>
  </si>
  <si>
    <t>Shadow of Moil</t>
  </si>
  <si>
    <t>致病辐射</t>
  </si>
  <si>
    <t>• 淡绿色的光线以你选择的距离内一点为中心扩散成半径30尺的球体。光线会蔓延过拐角，并一直持续到法术结束。
• 当一个生物在回合内第一次进入法术区域，或者是在其中开始回合，生物必须成功通过一次体质豁免检定，否则将承受4d10光耀伤害和一级力竭，并且会发散出5尺半径的暗绿色光线。这个光线让生物无法从隐形中获益。光线和由于该法术所产生的任何等级的力竭在法术结束时消失。</t>
  </si>
  <si>
    <t>Sickening Radiance</t>
  </si>
  <si>
    <t>暴风球</t>
  </si>
  <si>
    <t>• 在距离内，由你指定的一点为中心，出现了一个由强风构成的20尺半径的球体。该球体将在法术的持续时间内持续存在。在球体出现时处于其中的生物，或是在球体内结束其回合的生物均必须通过一次力量豁免检定，否则受到2d6点钝击伤害。球体所在的空间成为困难地形。
• 直到法术终结，你可以在你的每个回合使用一个附赠动作，令球体中心射出一发闪电，攻击距中心不超过60尺范围内的生物。进行一次远程法术攻击，如果攻击目标在球体内，这次攻击检定具有优势。若击中，目标受到4d6点闪电伤害。
• 在球体周围30尺内的生物在用于聆听的感知（观察）检定中具有劣势。
• 升环施法效应：当你使用5环或更高的法术位施放该法术时，使用的法术位每比4环高一环，所有效应产生的伤害便各增加1d6。</t>
  </si>
  <si>
    <t>Storm Sphere</t>
  </si>
  <si>
    <t>召唤高等恶魔</t>
  </si>
  <si>
    <t>• 你吐出污秽的词语，从无底深渊的无尽混沌中召唤来一只恶魔。你选择挑战等级为5或更低的一种恶魔类型，例如影魔Shadow Demon或者是巴古拉魔Barlgura。恶魔出现在法术距离内你可见的一处未被占据的空间，当它的生命值降低至0点或是法术结束时，恶魔将会消失。
• 恶魔拥有自己的回合，你为他投掷先攻。当你在召唤它以及在之后你的每一个回合，你都可以向它发布口头命令（无需你的动作），告诉它在下个回合它必须做什么。如果你没有发布命令，它会花费自己的回合用来攻击任何在触及范围内攻击它的生物。
• 在恶魔的每个回合结束时，它都会进行一次魅力豁免检定。如果你说出它的真名，恶魔会在这次豁免检定中具有劣势。如果豁免失败，恶魔继续服从你。如果豁免成功，在法术剩下的时间中你失去对恶魔的控制，并且恶魔会花费它的回合用于追逐和攻击最近的非恶魔生物，尽其所能。即使你在到达完整的持续时间之前中断该法术的专注，一个失去控制的恶魔在1d6轮内仍然不会消失，只要它还留有生命值。
• 作为施放此法术的一部分，你可以使用作为施法材料的血液在地上绘制一个法阵。法阵大到可以包括你在的空间。在法术的持续时间内，被召唤来的恶魔无法穿过或伤害法阵，也无法以其中的任何人作为目标。用这种方式使用的施法材料会在法术结束时被消耗。
• 升环施法效应：当你使用5环或更高的法术位施放该法术时，使用的法术位每比4环高一环，允许召唤的恶魔挑战等级就+1。</t>
  </si>
  <si>
    <t>Summon Greater Demon</t>
  </si>
  <si>
    <t>一滴巨型蜗牛的胆汁</t>
  </si>
  <si>
    <t>• 你指定距离之内的一点，一颗发光的1尺直径的强酸球飞向那里爆炸，酸液飞溅到20尺半径内的球形区域。在该区域中的每个生物必须进行一次敏捷豁免检定。若检定失败，其受到10d4点强酸伤害，并在其下个回合结束时再受到5d4点强酸伤害。若豁免成功，该生物只受到初始伤害的一半且不会在其下个回合结束时受到伤害。
• 升环施法效应：当你使用5环或更高的法术位施放该法术时，使用的法术位每比4环高一环，初始伤害便增加2d4。</t>
  </si>
  <si>
    <t>碧水球</t>
  </si>
  <si>
    <t>• 你在距离之内，你能看见的一点上召唤出一个半径5尺的水球。水球可以悬浮于空气中，但其离地高度不能超过10尺。水球将在法术的持续时间内持续存在。
• 处于水球空间内的任何生物必须进行一次力量豁免检定。若豁免成功，该生物将被排出到水球周围最近的未被占据的空间中。巨型或更大的生物将自动于此豁免检定中成功，一个大型或更小的生物可以选择在豁免中失败。若豁免失败，生物会被水球束缚，被水淹没。在其每个回合的结束，被束缚的生物可以重试此豁免检定，若成功则结束法术对自己的效果。
• 水球可以容纳至多4个中型（或更小的）生物，或是1个大型生物。若水球束缚了一个超过上限的生物，一个已经被束缚的随机生物将被排除，在水球周围5尺范围内摔倒。
• 以一个动作，你可以在直线方向上移动水球，至多移动30尺。若其移动时经过了一个坑，悬崖或类似地形，它会安全的落下，直到悬浮在地表10尺为止。水球束缚的所有生物也会随之移动。你可以用水球撞击生物来迫使其进行豁免检定。
• 当此法术终止时，水球会掉落在地，熄灭其周围30尺内的所有普通火焰。任何被水球束缚的生物会在摔落点成为摔倒状态。随后水流会消失。</t>
  </si>
  <si>
    <t>Watery Sphere</t>
  </si>
  <si>
    <t>操控风力</t>
  </si>
  <si>
    <t>• 你获得对距离内，你可以看见的，100立方尺的空气的操控能力。当施放此法术时，选择下述效果之一。该效果将在法术的持续时间内始终生效，除非你在稍后的回合中使用一个动作来调整为其他的效果。你也可以使用你的动作来暂停效应或重启一个被暂停的效应。
• 狂风Gusts：你操控的空气中产生了一阵狂风，持续的向一个由你选择的水平方向吹去。你选择风力的强度：微风calm，大风moderate和强风strong。若风力为大风或强风，进入或者离开区域，或者是穿过其中的远程武器攻击在其攻击检定中得到劣势。若风力为强风，逆风而行的生物每移动1尺需要额外消耗1尺的移动力。
• 下沉气流Downdraft：你操控的空气产生了向下的气流，从空间的顶部开始下沉。穿过其中的远程武器攻击，或是对于处于其中的生物进行的远程武器攻击在其攻击检定中得到劣势。生物每回合第一次飞进受影响的空间，或是在飞行状态下于受影响的空间开始其回合，其必须进行一次力量豁免检定。若检定失败，该生物摔落倒地。
• 上升气流Updraft：你操控的空气产生了向上的气流，从空间的底部开始上升。在该空间内结束摔落的生物只会因为该摔落受到一半的伤害。处于该空间内的生物垂直跳跃时，其能比正常情况下跳跃的高度高出10尺。</t>
  </si>
  <si>
    <t>Control Wind</t>
  </si>
  <si>
    <t>骷髅之舞</t>
  </si>
  <si>
    <t>• 黑暗力量的线从你的指尖延伸，刺穿了法术距离内最多5具你可见的小型Small或中型Medium的尸体。每具尸体都立即站起变为亡灵。你自由决定它是僵尸zombie或者骷髅skeleton（僵尸和骷髅的数据参考怪物手册），并且它们在攻击和伤害检定中得到等同你的施法属性调整值的加值。
• 你可以用你的附赠动作精神性地指挥你用该法术创造的生物，并对它们发出同样的命令。生物必须在你60尺内才能接受命令。你决定被操纵的生物下回合的动作和移动。或者，你可以下达宽泛的命令，例如守护某个房间或走廊。如果你不下达命令，生物只会保护自己对抗敌对生物。一旦被下达命令，生物会持续执行命令直到任务完成。
• 你对这些生物的控制持续到法术结束，在那之后它们立即变回无生命状态。
• 升环施法效应：当你使用6环或更高的法术位施放该法术时，使用的法术位每比5环高一环，你就可以活化额外的两具尸体。</t>
  </si>
  <si>
    <t>Danse Macabre</t>
  </si>
  <si>
    <t>拂晓</t>
  </si>
  <si>
    <t>价值至少100gp的旭日坠饰</t>
  </si>
  <si>
    <t>• 拂晓之光落在施法距离内你指定的地点，形成一道30尺半径、40尺高度的明亮光柱。这个光芒被视为阳光。
• 当光柱出现时，每个处于其中的生物都必须进行体质豁免，失败将受到4d10光耀伤害，成功则只承受一半。在光柱中结束回合的生物也必须再次进行这个豁免。
• 如果你在光柱60尺内，你可以在你的回合以一个附赠动作将它移动60尺。</t>
  </si>
  <si>
    <t>Dawn</t>
  </si>
  <si>
    <t>汲能术</t>
  </si>
  <si>
    <t>• 墨色的黑暗触须从你身上延伸，触碰法术距离内你可见的一个生物并汲取它的生命。目标必须进行敏捷豁免检定。若豁免成功，目标将受到2d8黯蚀伤害，随后法术结束。若豁免失败，目标受到4d8黯蚀伤害，并且直到法术结束之前，你在每个自己的回合都可以用你的动作对目标自动造成4d8黯蚀伤害。如果你使用你的动作来做其他任何事情，则法术即刻结束。此外，如果目标位于施法距离外或对你有全身掩护，法术同样会结束。
• 每次法术对目标造成伤害，你都可以恢复目标受到点黯蚀伤害量的一半生命值。
• 升环施法效应：当你使用6环或更高的法术位施放该法术时，使用的法术位每比5环高一环，伤害便增加1d8。</t>
  </si>
  <si>
    <t>Enervation</t>
  </si>
  <si>
    <t>渺远步</t>
  </si>
  <si>
    <t>• 你传送至60尺内一处你可见且未被占据的空间。在法术结束之前你的每个回合，你都可以用附赠动作再次通过这个方法传送。</t>
  </si>
  <si>
    <t>Far Step</t>
  </si>
  <si>
    <t>神圣武器</t>
  </si>
  <si>
    <t>• 你为你触碰的武器注入神圣的力量。直到法术结束之前，武器都会发散出30尺半径的明亮光照和额外30尺的微光光照。此外，用这把武器击中时会造成额外2d8光耀伤害。武器在持续期间转变为魔法武器，如果原本它不是魔法武器。
• 在你自己的回合中，以一个附赠动作，你可以解散该法术并使武器爆发出强光。在你周围30尺内，每个由你选择的可见生物必须进行体质豁免检定。若豁免失败，生物将受到4d8光耀伤害，并且在1分钟内目盲。豁免成功将只承受一半伤害并不会目盲。在被目盲的生物每个回合结束时它都可以重新进行体质豁免检定，若成功将结束效果对自己的影响。</t>
  </si>
  <si>
    <t>Holy Weapon</t>
  </si>
  <si>
    <t>焚烧</t>
  </si>
  <si>
    <t>• 火焰环绕了距离之内，你能看到的一个生物。该目标必须进行一次敏捷豁免检定。若豁免失败，其受到8d6点火焰伤害，豁免成功则只受到上述伤害的一半。若豁免失败，目标同时会在此法术的持续时间内被点燃。燃烧的目标会照亮周围30尺半径的区域，并在外围30尺范围内产生微光照明。在其每个回合的结束时，目标重复进行豁免检定。检定失败则受到4d6点火焰伤害。而豁免成功则刺法术终结。这些魔法火焰无法被非魔法的方式熄灭。
• 若此法术造成的伤害杀死了目标，目标化为灰烬。</t>
  </si>
  <si>
    <t>Immolation</t>
  </si>
  <si>
    <t>地狱呼唤</t>
  </si>
  <si>
    <t>一块价值至少999gp的红宝石</t>
  </si>
  <si>
    <t>• 说出黑暗的咒语，你从九狱之中召唤来魔鬼。你选择挑战等级在6或更低的一种魔鬼的类型，例如猬魔Barbed Devils或须魔Bearded Devils。魔鬼出现在施法距离内你可以看见的一处未被占据的空间。魔鬼在生命值降低至0或法术结束时消失。
• 魔鬼对你和你的同伴是不友好的。你为魔鬼投掷先攻，并且它拥有自己的回合。它处于DM的控制之下并在它的每个回合依据本性来进行行动。如果它认为自己能取胜它有可能会攻击你，或者它会诱惑你承诺一个邪恶行为来交换它的有限服务。DM掌握这个生物的数据。
• 在你的每个回合中，你都可以尝试向魔鬼发出口头命令（不需要任何动作）。如果命令可能产生的结果与它的愿望一致，尤其是可能会让你走向邪恶，魔鬼会遵从命令。否则，你必须进行魅力（欺瞒、威吓或游说）检定对抗它的感知（洞悉）检定。如果你说出这个魔鬼的真名，你在这次检定中具有优势。如果你的检定失败，在法术余下的持续时间中魔鬼将免疫你的口头命令，虽然它仍旧可以选择执行。如果你的检定成功，魔鬼会执行你的命令直到完成，例如“攻击我的敌人”，“探索前面的房间”，或者是“将这个信息带给女王”。在那之后它返回向你报告自己已经完成。
• 如果你的专注在法术到达完整的持续时间之前中断，且魔鬼已经免疫了你的口头命令，那么它不会立即消失，而是在消失之前以它选择任何方式活动3d6分钟。
• 如果你拥有某个特定的魔鬼邪符，并且它的挑战等级在法术允许的适当范围+1里，你可以召唤那个魔鬼，它会遵从你的命令而你无需魅力检定。
• 升环施法效应：当你使用6环或更高的法术位施放该法术时，使用的法术位每比5环高一环，允许召唤的魔鬼挑战等级就+1。</t>
  </si>
  <si>
    <t>Infernal Calling</t>
  </si>
  <si>
    <t>大漩涡</t>
  </si>
  <si>
    <t>漏斗形状的纸张或叶片</t>
  </si>
  <si>
    <t>• 大量的水出现在距离之内，你能看到的一点处，形成了5尺深、30尺半径的大漩涡。该点必须处于地面或者水体表面。直到法术终结，该区域成为困难地形，所有在该区域开始其回合的生物必须通过一次力量豁免检定，否则收到6d6点钝击伤害并被拉向中心10尺。</t>
  </si>
  <si>
    <t>Maelstorm</t>
  </si>
  <si>
    <t>负能量洪流</t>
  </si>
  <si>
    <t>一块破碎的骨头和一块方形的黑色丝绸</t>
  </si>
  <si>
    <t>• 你向距离内一个可见生物发出丝带状的负能量。如果目标不是不死生物，他必须进行一次体质豁免检定，并在豁免失败时受到5d12点黯蚀伤害，若豁免成功则只承受一半。被这个伤害杀死的目标将在你的下回合开始被唤起为一只僵尸zombie。僵尸会追杀距离他最近的、他可以看见的任何生物。僵尸的数据参考怪物图鉴。
• 如果你以不死生物作为目标使用该法术，目标不需要进行豁免检定，取而代之的是目标得到5d12的一半作为临时生命。</t>
  </si>
  <si>
    <t>Negative Energy Flood</t>
  </si>
  <si>
    <t>授予技能</t>
  </si>
  <si>
    <t>• 你的魔法加深了生物对自己才华的理解。你触碰一个自愿生物，并给予它你选择的一项技能的专精；直到法术结束之前，生物每次在使用选择的技能进行属性检定时都可以将它的熟练值加倍。
• 你所选择的技能必须是目标已经熟练的并且没有受益于其他类似将熟练值加倍的效果，例如专精Expertise。</t>
  </si>
  <si>
    <t>Skill Empowerment</t>
  </si>
  <si>
    <t>一把价值至少1sp的近战武器</t>
  </si>
  <si>
    <t>• 你舞动用于施法的武器，随后忽然消失并发起袭击，恰如同一阵钢铁的疾风。选择施法距离内最多5个可见生物。进行一次近战法术攻击检定对抗每个生物。若击中，每个目标承受6d10力场伤害。
• 在这之后，你可以传送到一个你击中或未击中的生物周围5尺内，你可以看见的未被占据的空间。</t>
  </si>
  <si>
    <t>• 你选择距离内的一点，并在那里引发心灵能量的爆炸。以那一点为圆形，20尺半径球形范围内的每个生物必须进行一次智力豁免检定。智力值为2或更低的生物不受该法术的影响。豁免失败的生物受到8d6心灵伤害，成功则只承受一半。
• 豁免失败生物的思想会在1分钟内变得混乱。在持续时间中，投掷一个d6，每次它进行攻击检定、属性检定和因为维持专注进行体质豁免检定时，它都要从结果上减去这个数值。在目标的每个回合结束它都可以重新进行智力豁免检定，若成功将结束这个效果对自己的影响。</t>
  </si>
  <si>
    <t>转化岩石</t>
  </si>
  <si>
    <t>陶土和水</t>
  </si>
  <si>
    <t>• 你选定距离内，你能看到的，不超过40立方尺区域内的岩石或泥土，并选择下述效果之一。
• 化石为泥Transmute Rock to Mud：该区域内任何种类的非魔法石块在法术的持续时间内变成等量的稀薄、可流动的泥浆。
  若你将法术施放在一处区域或地表，其将变得足够瘫软，足以令生物陷入其中。生物穿过泥浆的每尺均消耗4尺的移动力，而在你施法时处于该区域内的生物需要进行一次力量豁免检定。若一个生物在一个回合内第一次进入此区域，或在此区域内结束其回合，其也需要进行此豁免检定。若豁免失败，其将没入泥浆并被束缚，虽然他可以以一个动作来把自己拽出泥浆以结束束缚。
  若你对天花板施放此法术，泥浆会掉落。在泥浆掉落时处于其下方的所有生物必须进行一次敏捷豁免检定。若检定失败则该生物受到4d8点钝击伤害，检定成功者只受到上述伤害的一半。
• 化泥为石Transmute Mud to Rock：在法术的持续时间内，区域内不超过10尺深的非魔法泥土或流沙变为柔软的岩石。在变化的泥土中的生物需要进行一次敏捷豁免检定。若豁免成功，该生物安全的移动到未被占据的一处地表上。若豁免失败，该生物被岩石所束缚。被束缚的生物、或者是其他可以触及到它的生物，可以使用一个动作以试图通过一次力量检定（DC20）来令其脱困。岩石拥有15AC和25点生命值，并且免疫毒素和心灵伤害。</t>
  </si>
  <si>
    <t>Transmute Rock</t>
  </si>
  <si>
    <t>光墙术</t>
  </si>
  <si>
    <t>一面手镜</t>
  </si>
  <si>
    <t>• 明亮的、闪光的墙壁在施法距离内你选择的一点出现。这面光墙的方向由你决定：你可以使墙成为水平或垂直的结界，亦可以使它成一定倾角。它可以浮在空中，也可以立于坚实的表面上。墙壁的长度至多60尺，高度至多10尺，厚度至多5尺。墙会阻挡视线，但是生物和物体可以穿过它。它发出120尺的明亮照明和额外120尺的微光照明。
• 当光墙出现时，在那个区域里的每个生物都必须进行体质豁免检定。若豁免失败，生物受到4d8光耀伤害，并且目盲1分钟。若豁免成功，它只承受一半伤害并且不会被目盲。一个被目盲的生物可以在它的每个回合结束时重新进行体质豁免检定，若成功则结束对自己的目盲效果。在墙壁区域内结束回合的生物也会受到4d8光耀伤害。
• 直到法术结束之前，你可以使用你的动作从墙上发射出一条光辉射线，袭击它60尺内的一个你可以看见的生物。进行一次远程法术攻击检定。若击中，目标承受4d8光耀伤害。无论击中或失手，墙壁的长度都会被减少10尺。如果墙壁的长度被降低至0尺，法术结束。
• 升环施法效应：当你使用6环或更高的法术位施放该法术时，使用的法术位每比5环高一环，伤害便增加1d8。</t>
  </si>
  <si>
    <t>Wall of Light</t>
  </si>
  <si>
    <t>• 你唤醒自然界的精魂对抗你的敌人。选择施法距离内你可见的一点，精魂令那一点为中心60尺立方区域内的树木、岩石和草丛被活化，直到法术结束。
• 草丛和灌木Grasses and Undergrowth：立方区域内被草丛或灌木覆盖的地面对你的敌人而言是困难地形。
• 树木Trees：在你的每个回合开始，在立方区域内的任何树木周围10尺范围内的每个你的敌人都必须成功进行敏捷豁免检定，否则会因为树枝的挥打受到4d6挥砍伤害。
• 根与藤Roots and Vines：在你的每个回合结束时，立方区域内站于地面上的一个你选择的生物必须成功进行力量豁免检定，否则会被束缚直到法术结束。被束缚的生物可以使用它的动作来进行一次力量（运动）检定对抗你的施法DC，如果成功将会结束这个效果对自己的影响。
• 投石Rocks：在你的回合中以一个附赠动作，你可以使一块立方区域中的松动岩石投掷向同样在区域里的一个你可见的生物。若击中，目标受到3d8非魔法钝击伤害，并且必须成功进行力量豁免检定否则应击倒地。</t>
  </si>
  <si>
    <t>Wrath of Nature</t>
  </si>
  <si>
    <t>地之骨</t>
  </si>
  <si>
    <t>• 你令距离内你能看见的地面处升起六根石柱。每根石柱为直径5尺，高度至多30尺的圆柱。升起石柱的地表必须具有足以容纳其直径的空间，你可以以一个体型不超过中型的生物的脚下作为目标。每根石柱的AC为5，具有30点生命值。当其生命值被降为0时，石柱将变为碎石，在10尺半径的区域内形成一片困难地形的区域。每块5尺直径的碎石区域都需要至少1分钟来手动清理。
• 若一根石柱在一个生物的脚下升起，该生物必须进行一次敏捷豁免检定，否则会被石柱顶起。生物可以选择在此豁免中失败。
• 若一根石柱因为天花板或其他障碍未能达到其最大高度，在石柱上的生物受到6d6点钝击伤害，并被束缚，在石柱与障碍物间动弹不得。被束缚的生物可以以一个动作来进行一次力量或敏捷检定（由该生物选择），对抗此法术的豁免检定DC。若成功，该生物不再被束缚，必须选择从石柱上移动下来或摔落下来。
• 升环施法效应：当你使用7环或更高的法术位施放该法术时，使用的法术位每比6环高一环，你便能额外升起两根石柱。</t>
  </si>
  <si>
    <t>Bones of the Earth</t>
  </si>
  <si>
    <t>创造造妖</t>
  </si>
  <si>
    <t>黏土，灰尘，曼德拉草根，以上材料在施法时被消耗，以及价值1000gp的镶嵌宝石的匕首</t>
  </si>
  <si>
    <t>• 说出复杂咒语的同时，你用一把镶嵌宝石的匕首刺穿自己，并受到不能被任何方式降低的2d4穿刺伤害。随后你将血液滴落在法术的其他成分上并接触它们，将它们转变为一种名为造妖Homunculus的特殊构装体。
• 造妖的数据参见怪物手册。它是你的忠实伙伴，并且会随着你死亡。每次你完成一次长休，并且此时若造妖与你处于同一位面，你可以选择花费最多一半的生命骰，投掷每个骰子并加上你的体质调整值，之后你的最大生命值降低数字的总和，并且造妖的最大生命值和当前生命值都提升这个数字。这个过程可以让你的生命值降至不低于1点。你和造妖的生命值变化会在你完成下一次长休时还原，在那之前你的最大生命降低效果不能被移除，除非你的造妖死亡。
• 同一时间你只能拥有一只造妖。如果你在你的造妖还存活时施展，法术将会失败。</t>
  </si>
  <si>
    <t>Create Homunculus</t>
  </si>
  <si>
    <t>德鲁伊林地</t>
  </si>
  <si>
    <t>一个在满月之光下以黄金镰刀收割的槲寄生，作为此法术的耗材</t>
  </si>
  <si>
    <t>• 你呼唤自然之灵来守护一块户外区域或者是地底。这片区域最小为边长30尺的立方体，最大则可达边长90尺的立方体。建筑物和其他构造物会被排除在受影响区域外。如果你在一年内每天对同一区域施展该法术，法术将持续到被解除。
• 法术将在区域内产生如下效果。当你施展该法术时，你可以指定生物作为友伴免疫这些效果。你也可以指定一个口令，大声说出口令的人也同样免疫这些效果。
• 整个被保护的区域都辐射着魔法。一道在区域内施展的解除魔法法术若成功，将只移除以下效果之一，而非整块区域。法术的施法者可以选择一个效果结束。只有当所有效果结束时法术才会被解除。
• 重雾Solid Fog：你可以在地面上分布厚雾填充任意数量的5尺方格，使其处于重度隐蔽之下。雾气高达10尺。在穿过雾气时每移动1尺就要花费额外2尺的移动力。在免疫这个效果的生物眼中，雾气什么也不会掩盖，并且看起来像是漂浮在空气中的绿色光点。
• 纠缠灌木Grasping Undergrowth：你可以在没有被填充雾气的地面上分布纠缠的藤蔓和杂草填充任意数量的5尺方格，如同它们受到了纠缠术Entangle的影响。对免疫这个效果的生物而言这些野草和藤蔓都是柔软的，甚至可以重塑形态成为临时的座椅和床铺。
• 林地守卫Grove Guardians：你可以活化区域内最多四棵树木，使它们从地面上拔根而起。这些树木与怪物手册中的启蒙树Awakened tree有相同的数据，除了它们不会说话，并且在它们的表皮上覆盖着德鲁伊符记。如果有任何不免疫这个效果的生物进入被保护的区域，林地守卫会与它们战斗直到入侵者被赶走或被杀死。林地守卫也遵从你在这个区域内发布的口头命令（无需你的动作）。如果你没有给它们命令也没有入侵者，林地守卫不会行动。林地守卫不能从被保护的区域离开。在法术结束时，驱动它们的魔法也会消失，它们会重新生根（如果可能的话）。
• 额外法术效果Additional Spell Effect：你可以从以下魔法效果中选择其一放置在被保护的区域。
• 在你选择的两个位置布置持续的造风术Gust of Wind效果。
• 在你选择的一个位置布置荆棘丛生Spike Growth效果。
• 在你选择的两个位置布置风墙术Wall of Wind效果。
• 对免疫这个效果的生物而言，风是带着芳香的微风，而布置荆棘丛生的区域是无害的。</t>
  </si>
  <si>
    <t>Druid Grove</t>
  </si>
  <si>
    <t>炽焰赋权</t>
  </si>
  <si>
    <t>• 火焰环绕着你的身体，照亮周围30尺半径的区域，并在外围30尺范围内产生微弱的亮光。这些火焰不会伤害到你。直到此法术终结，你得到如下的增益：
• 你免疫火焰伤害并对冷冻伤害具有抗性。
• 任何在回合中第一次进入你周围5尺范围之内，或是在你周围5尺范围之内结束回合的生物受到1d10点火焰伤害。
• 你可以使用你的动作以创造出一条以你为起始点，向由你选择的方向延伸的15尺长、5尺宽的火线。在线中的每个生物都必须进行一次敏捷豁免检定。豁免失败的生物受到4d8点火焰伤害，豁免成功者受到上述伤害的一半。</t>
  </si>
  <si>
    <t>Investiture of Flame</t>
  </si>
  <si>
    <t>寒冰赋权</t>
  </si>
  <si>
    <t>• 直到此法术终结，寒冰浸沐了你的躯体，你得到如下增益：
• 你免疫冷冻伤害，并对火焰伤害具有抗性。
• 你可以在由冰或雪形成的困难地形上移动而无需额外消耗移动力。
• 以你为中心，周围10尺半径的区域被冻结了，对于你之外的生物而言，其被视为困难地形。此范围会随着你移动而移动。
• 你可以使用你的动作以创造出一道15尺的寒风锥，以你张开的手为起始点，向由你选择的任意方向延伸。在锥内的每个生物均必须进行一次体质豁免检定。检定失败则受到4d6点冷冻伤害，若成功则受到上述伤害的一半。在对抗该效应的豁免检定中失败的生物，直到你的下个回合开始，其速度减半。</t>
  </si>
  <si>
    <t>Investiture of Ice</t>
  </si>
  <si>
    <t>磐石赋权</t>
  </si>
  <si>
    <t>• 直到法术终结，岩石颗粒布满了你的躯体，你得到如下增益：
• 你对于来自非魔法攻击的钝击，穿刺和挥砍伤害得到抗性。
• 你可以以一个动作，在以你为中心周围15尺半径的地表创造出一阵小型地震。在地表上的其他生物必须通过一次敏捷豁免检定，否则会摔倒。
• 你可以在由泥土或岩石造成的困难地形上移动而无需额外消耗移动力。你可以穿过固态的泥土或石头，像是穿过空气那样。这并未令穿过的物质变得不再凝固，但你不能在物质中结束你的移动。若你结束了移动，你将被排出到最近的未被占据的空间内，此法术终结，你在直到你下个回合结束前的时间内陷入震慑状态。</t>
  </si>
  <si>
    <t>Investiture of Stone</t>
  </si>
  <si>
    <t>清风赋权</t>
  </si>
  <si>
    <t>• 直到此法术终止，风在你的身旁回旋，而你得到下述增益：
• 对你进行的远程武器攻击，在其攻击检定中具有劣势。
• 你得到60尺的飞行速度。若此法术终止时，你仍处于飞行状态，你会坠落，除非你有其他方法避免坠落。
• 你可以使用你的动作以在你60尺范围内，以你能看到的一点为中心，制造出15立方尺的呼啸之风。每个在该空间内的生物必须进行一次体质豁免检定。豁免失败的生物受到2d10点钝击伤害，豁免成功者受到上述伤害的一半。若体型不超过大型的生物在此豁免中失败。该生物将在远离该空间中心的方向上被推离10尺。</t>
  </si>
  <si>
    <t>Investiture of Wind</t>
  </si>
  <si>
    <t>精神监狱</t>
  </si>
  <si>
    <t>• 你试图将目标生物束缚在一个只有他自己能感知的幻觉牢房中。在距离内你选择的一个可见的生物必须进行一次智力豁免检定。如果目标免疫魅惑，它在这次豁免中自动成功。若豁免成功，目标受到5d10心灵伤害，同时法术结束。若豁免失败，在造成5d10心灵伤害的同时你立即创造出环绕目标所在空间的某种危险区域。你也许会让目标感觉到自己被烈火、被浮动的刀锋、被可怕的獠牙所包围。
• 无论你采用什么形式的幻象，目标都不能越过它看到或听到任何事物，并且在法术持续时间内被束缚。如果目标移动出幻象，穿过它进行一次近战攻击检定，或尝试用身体的任何部分穿过它，目标受到10d10心灵伤害，然后法术结束。</t>
  </si>
  <si>
    <t>Mental Prison</t>
  </si>
  <si>
    <t>散射术</t>
  </si>
  <si>
    <t>• 你选择距离之内最多5个可见生物，震颤的空气将环绕他们周围。一个非自愿的生物必须成功进行感知豁免检定来抵抗该法术。你将每个受影响的生物传送至120尺内任意你可以看见且未被占据的空间。这个空间必须在地面上或在地板上。</t>
  </si>
  <si>
    <t>Scatter</t>
  </si>
  <si>
    <t>灵魂牢笼</t>
  </si>
  <si>
    <t>1反应，于你看见60尺内一个类人生物死去时</t>
  </si>
  <si>
    <t>一个价值至少100gp的银笼子</t>
  </si>
  <si>
    <t>• 该法术攫取一个死去的类人生物的灵魂，并将它关在你用作为法术材料成分的笼子里。被偷窃而来的灵魂在笼子里持续到法术结束或者你摧毁这个笼子，这也会使法术结束。当你的笼子里面有一个灵魂时，你可以用下文描述的任一方法来利用它。一个被困住的灵魂最多被你这样使用6次。一旦你第六次利用这个灵魂，它将会被释放，然后法术结束。在灵魂被困住时，作为灵魂来源的已死类人生物无法被复活。
• 窃取生命Steal Life：你可以用一个附赠动作从灵魂中吸取活力并恢复2d8生命值。
• 灵魂质问Query Soul：你向灵魂提出一个问题（无需动作）并得到一个简短的回答作为心灵感应，无论用什么语言你都可以理解。灵魂只知道它的人生中了解的事物，但它必须如实回答并且尽其所能。回答至多是一两句话，也有可能是有隐藏意义的。
• 借鉴经验Borrow Experience：你可以使用一个附赠动作让灵魂的人生经验来支撑你，令你的下一次攻击检定，能力检定和豁免检定具有优势。如果在你的下个回合开始之前你没有使用这个增益，它将会消失。
• 亡者之眼Eyes of the Dead：你可以使用一个动作来说出这个类人生物在人生中曾见过的地点的名字，如果你和那个地点在同一位面，你可以在那里创造出一个隐形的传感器。这个传感器将维持到你的专注结束，最多10分钟（如同你正专注于一个法术）。你从这个传感器中接受视觉和听觉信息，就如同你在那个地点使用自己的感官。
• 能看到这个传感器的生物（例如使用了识破隐形See Invisibility法术或是拥有真实视觉）将会看到被你关在笼中的受难者半透明的影像。</t>
  </si>
  <si>
    <t>Soul Cage</t>
  </si>
  <si>
    <t>众星冠冕</t>
  </si>
  <si>
    <t>• 七个星型的光点在你的头顶浮现并环绕，直到法术结束。你可以使用一个附赠动作消耗一个光点袭向在你120尺内的一个生物或物品。当你这么做时，进行一次远程法术攻击检定。若击中，目标受到4d12光耀伤害。无论你击中与否光点都将被消耗。如果你消耗了最后一枚光点，法术将提前结束。
• 如果你还留存4个或更多的光点，它们会发出30尺半径的明亮照明和额外30尺的微亮照明。如果你还留存1至3个光点，它们只会发出30尺的微光照明。
• 升环施法效应：当你使用8环或更高的法术位施放该法术时，使用的法术位每比7环高一环，你就可以多创造两枚额外的光点。</t>
  </si>
  <si>
    <t>Crown of Stars</t>
  </si>
  <si>
    <t>律令痛苦</t>
  </si>
  <si>
    <t>• 你说出饱含力量的真言，引发距离内一个你可见生物的剧痛。如果目标的生命值为100点或更少，它将遭受强烈的痛苦。否则，法术将对它没有作用。免疫魅惑的生物同样不受该法术影响。
• 如果目标承受了这种痛苦，他所拥有的任何速度都不能超过10尺。目标在攻击检定、属性检定和除了体质豁免以外的豁免检定中承受劣势。最后，如果目标试图施法，它必须先成功进行体质豁免检定，否则它将施法失败，法术会被浪费。
• 承受了这种痛苦的目标在它的每个回合结束都可以进行一次体质豁免检定。如果豁免成功，痛苦将结束。</t>
  </si>
  <si>
    <t>Power Word Pain</t>
  </si>
  <si>
    <t>神庙术</t>
  </si>
  <si>
    <t>一个价值至少5gp的圣徽</t>
  </si>
  <si>
    <t>• 你让一座神庙在闪耀的光辉中出现。选择施法距离内一处你可见的地面，为了容纳神庙这个空间必须是一个未被占用的立方体，每边至少120尺长。神庙维持到法术结束。它被用于供奉施法时所用圣徽体现的神明、众神或是哲学理念。
• 你可以对这座神庙的外观做出所有决定。它的内部被地板、墙壁和屋顶所包围，有一扇作为入口的门扉和任意数量的窗户，如你所愿。只有你或任何你在施法时指定的生物可以开启或关闭这扇门。
• 神庙的内部是个开放性空间，在一端摆放着神像或者是祭坛。你决定神庙是否被照亮，决定照亮神庙的是明亮光照还是微光光照。这里的温度适宜，熏香的气味弥漫在空气中。
• 在你施展该法术的时候，你选择数种生物类型被神庙所敌对。从以下列表中选择一项或更多：天界生物，元素生物，精类生物，邪魔，或是不死生物。如果选定类型的生物试图进入神庙，它必须立即进行一次魅力豁免检定。若豁免失败，他在24小时内不能进入神庙。即使生物能够进入神庙，魔法的力量也会妨碍它；每当它在神庙里进行攻击检定，属性检定或者是豁免检定时，它必须额外骰一个d4骰，把那个数值从d20的结果中减去。
• 此外，预言系法术所创造的传感器不能在神庙中出现，并且神庙里的生物无法被预言系法术定位。
• 最后，每次在神庙里的任何生物从1环或更高环的法术中恢复生命时，它将额外恢复等同于你感知调整值的额外生命值（至少1点）。
• 神庙由不透明的魔法力场所创造并延伸至以太位面，因此会阻碍任何试图从以太旅行中进入神庙内部的行为。没有东西能物理性地穿过神庙的外部。它不会被解除魔法Dispel Magic所解消，也不会受到反魔法力场Antimagic Field的影响。一道解离术Disintegrate能立即摧毁神庙。
• 如果你在一年中每天都对同一地点施展该法术，法术的效果将持续永久。</t>
  </si>
  <si>
    <t>Temple of the Gods</t>
  </si>
  <si>
    <t>旋风</t>
  </si>
  <si>
    <t>一根稻草</t>
  </si>
  <si>
    <t>• 一阵呼啸的旋风出现在你指定的地表上可见的一点。旋风半径为10尺，高度为30尺，是一个以指定点为中心的柱状体。直到此法术终结，你可以使用你的动作来在水平的任何方向上移动至多30尺。旋风会吸入所有固定或未被穿戴或持握的，不大于中型的物体。
• 在回合中第一次进入旋风的生物，或所在空间被旋风进入的生物（包括旋风第一次出现时的）必须进行一次敏捷豁免检定。豁免失败的生物受到10d6点钝击伤害，豁免成功者只受到上述伤害的一半。此外，体型不超过大型的生物若未通过豁免则必须通过一次力量豁免检定，否则会被旋风束缚，直到法术终结。当一个生物在被旋风束缚的条件下开始其回合时，除非其达到了顶点，其将被向上方推动5尺。被束缚的生物会随着旋风移动，而法术终结时其会摔落，除非其具有其他方法保持悬浮。
• 被束缚的生物可以使用一个动作来进行一次力量或敏捷检定，对抗你的法术豁免DC。若成功，该生物不再被旋风束缚，并被向随机方向抛离3d610尺远。</t>
  </si>
  <si>
    <t>Whirlwind</t>
  </si>
  <si>
    <t>亚比达奇凋死术</t>
  </si>
  <si>
    <t>一小块海绵</t>
  </si>
  <si>
    <t>• 你从以距离内由你指定的一点为中心、30尺立方空间内的每个生物身上抽取水汽。在该区域内的每个生物必须进行一次体质豁免检定。构装生物和不死生物不受影响，而植物和水元素在进行此豁免检定时具有劣势。若豁免失败，生物将受到12d8点黯蚀伤害，而豁免成功则只受到上述伤害的一半。
• 在这个区域内的非魔法、非生物植物，例如树木和灌木，会立即死亡。</t>
  </si>
  <si>
    <t>Abi-Dalzim's Horrid Wilting</t>
  </si>
  <si>
    <t>幻影巨龙</t>
  </si>
  <si>
    <t>• 你汇聚、编织从堕影冥界收集的阴影物质，随后在施法距离内你可见的未占据空间创造出巨型阴影龙。这个幻象会占据所在空间并持续到法术结束，就好像是一个真实生物。
• 当幻象出现时，任何可以看见幻象的你的敌人必须成功进行感知豁免检定，否则将在1分钟内陷入恐惧。如果被恐惧的生物在与幻象没有视觉线相连的位置并结束回合，它可以重新进行豁免检定，成功将终止对自己的恐惧效果。
• 在你的回合中以一个附赠动作，你可以移动幻象最多60尺。选择它进行移动的任意一点，你可以使它以那个位置作为起源点并喷吐出60尺锥形的爆发性能量。在你创造巨龙时选择一种伤害类型：强酸，冷冻，火焰，闪电，黯蚀或者毒素。处于锥形范围内的每个生物必须进行智力豁免检定，若豁免失败会受到7d6点对应类型的伤害，成功只承受一半。
• 幻象是有形的因为它由阴影物质创造而成，不过对它的攻击会自动失手。它会通过所有豁免检定，并且免疫所有的伤害和异常状态。一个生物可以用动作来进行智力（调查）检定对抗你的法术豁免DC来判断巨龙是否为幻影。如果生物识别了幻象的真相，生物可以看穿它并在对抗它的吐息时获得优势。</t>
  </si>
  <si>
    <t>Illusory Dragon</t>
  </si>
  <si>
    <t>疯狂之暗</t>
  </si>
  <si>
    <t>一滴沥青与一滴水银的混合物</t>
  </si>
  <si>
    <t>• 魔法黑暗从范围内你指定的一点延伸至半径60尺的球形范围，直到法术结束。黑暗会蔓延过拐角。生物的黑暗视觉不能看穿这片黑暗。非魔法的光源，以及8环和8环以下法术创造的光亮不能照亮这片区域。
• 尖叫声，低语声，以及疯狂的大笑声时不时能从球形范围内听见。每当一名生物在范围内开始回合，它必须进行一次感知豁免，失败时将受到8d8心灵伤害，成功则只承受一半。</t>
  </si>
  <si>
    <t>Maddening Darkness</t>
  </si>
  <si>
    <t>坚固堡垒</t>
  </si>
  <si>
    <t>一颗价值至少500GP的钻石，作为此法术的耗材</t>
  </si>
  <si>
    <t>• 一座岩石的堡垒从施法距离内你选择的一处可见的方形地面升起。这块区域需要在每一边上有至少120尺，并且必须没有任何建筑或其他构造物立于其上。所有处于区域内的生物在堡垒升起时将会被无害地举起。
• 这座堡垒有4个方形的塔楼，每一个都有20尺的边长和30尺的高度，分布在堡垒的每个角上。塔楼通过每边80尺长的石墙相互连接，创造出一个封闭的区域。每一面墙的厚度都达到1尺，由10尺宽度和20尺高度的石板组成。每块石板都与其他两块石板或是与一块石板和一座塔楼相邻接。你可以在堡垒的外墙放置4面石门。
• 在封闭区域内树立着一座小城堡。城堡拥有50尺边长的方形基座，并且有3层楼，每一层的天花板都有10尺高。每一层都可以以你喜欢的方式划分出许多房间，但每个房间都至少要有5尺的边长。城堡的每一层都由石头楼梯相连，它的墙厚达6英寸，室内房间的门户式样（石门或者开放式拱门）由你选择。城堡内部的家具和装潢以你喜欢的方式布置，它每天可以提供足够100人享用的、包含九道菜肴的盛宴。从堡垒中被带走的家具、食物和其他由该法术创造的物体会立即化为土灰。
• 你在施展法术时可以指定任意生物，有100个隐形的侍从作为堡垒的职工遵从他们的任何命令。每一个侍从都如同隐形仆役法术的造物，有近似的功能。
• 所有由石头创造的城墙、塔楼和城堡都会被损害。每一块10尺x10尺的岩石部件都有15点AC，以及每英寸厚度30点的生命值。它免疫毒素和心灵伤害。将某一部分的岩石生命值降低至0点会摧毁它，并且也许会引起与它连接的部分变形和垮塌，具体由你的DM裁量。
• 在7天之后，或当你在别处再次施展该法术，堡垒会无害地坍塌并沉入地面，把其中的任何生物安全地留在地上。
• 在一年之间，每7天一次在相同的位置施展该法术会让堡垒永久存在。</t>
  </si>
  <si>
    <t>Mighty Fortress</t>
  </si>
  <si>
    <t>无敌术</t>
  </si>
  <si>
    <t>一小块价值至少500GP的精金，作为本法术的耗材</t>
  </si>
  <si>
    <t>• 你免疫所有伤害直到法术结束。</t>
  </si>
  <si>
    <t>Invulnerability</t>
  </si>
  <si>
    <t>群体变形术</t>
  </si>
  <si>
    <t>一个毛毛虫的茧</t>
  </si>
  <si>
    <t>• 你可以转变施法距离内最多10个由你选择的可见生物。非自愿的目标必须通过一次感知豁免检定来对抗变形。非自愿的变形者（shapechanger）在这次豁免中自动成功。
• 每一个目标都获得由你选择的、相同或是不同的野兽形态。新的形态可以是你曾见过的、挑战等级低于或等于目标挑战等级任意野兽（如果目标没有挑战等级，那么上限是目标等级的一半）。这些目标的游戏数据，包括心智属性值，将被你所选择的野兽数据所取代，但仍然保留他们的生命值、阵营和人格。
• 每一个目标都得到等同于新形态生命值的临时生命值。这些临时生命值不能被其他来源的临时生命值替换。生物会在失去这些临时生命值或者死亡时变回原本的形态。如果法术在这之前结束，这些临时生命值也会失去且生物变回原形。
• 生物能进行的动作被它新形态的特质所限制。它将不能说话、施展法术、或是做其他需要用到手或言语的事情。
• 目标的装备融合进新形态，目标生物不能启动，使用，挥舞或其他方式从它的装备上获得增益。</t>
  </si>
  <si>
    <t>Mass Polymorph</t>
  </si>
  <si>
    <t>心灵尖啸</t>
  </si>
  <si>
    <t>• 你释放你的心灵力量，轰击施法距离内至多10个由你选择的可见生物的心智。智力值为2或更低的生物不受影响。
• 每个目标都必须进行一次智力豁免检定。若豁免失败，目标受到14d6心灵伤害并且被震慑。豁免成功则只承受一半且不被震慑。如果一个有头的目标被这个伤害杀死，它的头会爆炸。
• 一个被震慑的生物可以在它每个回合结束时重新进行智力豁免。若豁免成功，震慑效果将结束。</t>
  </si>
  <si>
    <t>Psychic Scream</t>
  </si>
  <si>
    <t>扭曲价值</t>
  </si>
  <si>
    <t>• 当你试图卖掉从混沌神殿中解放出来的那座奇异章鱼雕像时，你是否需要从那个无良商人口袋里再压榨几块黄金？当收税员驻足你的身前时，你是否需要贬低一些魔法资产的价值呢？扭曲价值法术为你保驾护航。
• 你施展此法术于边长不超过1尺的一个物件上，以幻术的滋养和抛光来加倍它看起来的价值，或者是用虚幻的划痕、凹陷和其他不雅的特征来减半它看起来的价值。任何检查物件的人，可以通过智力（调查）检定对抗你的法术DC，若成功将会确定它的真实价值。
• 升环施法效应：当你使用2环或更高的法术位施展该法术时，使用的法术位每比1环高一环，目标物件的最大尺寸就可以增加1尺。</t>
  </si>
  <si>
    <t>Distort Value</t>
  </si>
  <si>
    <t>艾奎兹玄有限责任公司</t>
  </si>
  <si>
    <t>吉姆的魔法飞弹</t>
  </si>
  <si>
    <t>版税成分：1gp</t>
  </si>
  <si>
    <t>• 每一个法师学徒都会施展无聊的古董魔法飞弹。啊哈，它总是击中目标。（哈欠）。别再干你祖父流传下来的苦差事了，来像吉姆• 达克马奇那样，用这个改进版本的法术吧！
• 你创造了三个扭曲着的，尖啸着的，低过敏的，无麸质的魔法立场飞镖。每一枚飞弹都瞄准一个在施法距离内由你选择的可见生物。为每一枚飞弹进行远程攻击检定。若命中，飞弹将对这个目标造成2d4点力场伤害。
• 如果这次攻击检定形成了一次重击，取代了正常重击形成的两次伤害骰，那枚飞弹的目标将受到5d4力场伤害。但是如果任何一个飞弹的攻击检定为1，所有飞弹都会丢失他们的目标并且在你的脸上爆炸。那时每一枚飞弹都会对你造成1点伤害。
• 升环施法效应：当你使用2环或更高的法术位施展该法术时，使用的法术位每比1环高一环，法术就可以多创造一枚飞镖，但是版权成分也会增加1gp。</t>
  </si>
  <si>
    <t>Jim's Magic Missile</t>
  </si>
  <si>
    <t>巧舌如簧</t>
  </si>
  <si>
    <t>1反应，当你与另一个生物说话时采取</t>
  </si>
  <si>
    <t>• 据说是吉姆• 达克马奇发明了这个魔法，并且它最开始的名字叫“我说了啥？！”你有没有曾经在与当地领主开玩笑时，不小心提到他的儿子长得像你家农场里那只你最喜欢的猪？我们过去都经历过！不过你可以确保没人知道这件事情，来假装它从未发生过，以此来避免因为一次诚实的失言而丢掉脑袋。
• 当你施展这个法术时，你可以通过巧妙的操作修整你周围听众的记忆，从而使在你周围5尺内、每一个你所选择的生物立即忘掉在最后六秒中你所说过的每一句话。之后，他们会记住你实际上说的是作为这个法术言语成分的那些话语。</t>
  </si>
  <si>
    <t>Gift of Gab</t>
  </si>
  <si>
    <t>吉姆的发光硬币</t>
  </si>
  <si>
    <t>一枚硬币。版税成分：2gp</t>
  </si>
  <si>
    <t>• 在魔术大师、大冒险家吉姆• 达克马奇运用过的许多骗术中，“发光的旧硬币”是其中最为经典的。当你施法时，你将作为法术材料成分的硬币丢往法术距离内任意一点。这枚硬币将会像处于法术光亮术light影响一般闪闪发光。在硬币周围30尺内，你所能看到、并且由你选择的每一个生物必须通过一次感知豁免，否则将会在持续时间内被硬币所分心。在被分心时，生物在感知（察觉）检定和先攻检定中具有劣势。</t>
  </si>
  <si>
    <t>Jim's Glowing Coin</t>
  </si>
  <si>
    <t>快速交友</t>
  </si>
  <si>
    <t>• 如果你想要确保某件事情完成，你不能依赖于含糊不清的承诺、宣誓或雇佣合同。当你施展此法术时，选择一个能看见、能听见、并且能理解你的，在施法距离内的类人生物。这个生物必须通过一次感知豁免，否则将会在持续期间内被你魅惑。当生物因为这种方式被魅惑时，它将承诺尽其所能地以友好的方式履行你所要求的任何服务或者是活动。
• 在这个生物之前的任务完成时，或者你决定中止它的当前任务时，你可以为它布置一个新任务。如果这项活动或任务可能伤害这个生物，或者与这个生物的正常活动和欲望相违背时，生物可以进行另一次感知豁免来尝试中止这个效果。如果你或者你的同伴正在与这个生物交战，他对此豁免具有优势。如果你要求的活动在结果上会确实地导致这个生物死亡，法术将会结束。
• 当法术结束时，这个生物知道他曾经被你所魅惑。
升环施法效应：当你使用4环或更高的法术位施放该法术时，使用的法术位每比3环高一环，你就可以多指定一个额外的目标。</t>
  </si>
  <si>
    <t>Fast Friends</t>
  </si>
  <si>
    <t>鼓动贪欲</t>
  </si>
  <si>
    <t>一块至少价值 50gp 的宝石</t>
  </si>
  <si>
    <t>• 当你施展这个法术时，你将展现作为法术材料成分的宝石，并且选择施法距离内能看见你的、任意数量的生物。每一个目标都必须成功通过一次感知豁免，否则将会被你魅惑直到法术结束，或者直到你或你的同伴做了任何有害于他的事情。当生物被这种方式魅惑时，它们除了以安全的方式花费移动力来接近你以外，不能做任何其他的事情。当一个受影响的生物到达你的5尺之内，它将不能移动，只是贪婪地注视着你所展现的宝石。
• 受影响的目标每个回合结束时，可以再进行一次感知豁免检定。如果它成功，对于那个目标的效果将结束。</t>
  </si>
  <si>
    <t>Incite Greed</t>
  </si>
  <si>
    <t>励志演讲</t>
  </si>
  <si>
    <t>• 你向盟友、工作人员、或是无辜的旁观者发出劝诫，激励他们向往崇高的目标，不管到底有没有发生什么让他们兴奋的事情。选择施法距离内最多5个可以听见你的生物。在持续时间中，每个生物都可以得到5点临时生命值，并且在感知豁免中具有优势。如果一个受影响的生物被一次攻击命中，它将在下一个它所进行的攻击检定中具有优势。一旦一个受影响的生物失去了这个法术所提供的临时生命值，这个法术就对它结束了。
升环施法效应：当你使用4环或更高的法术位施展该法术时，使用的法术位每比3环高一环，提供的临时生命值就增加5点。</t>
  </si>
  <si>
    <t>Motivational Speech</t>
  </si>
  <si>
    <t>纳撒尔恶作剧</t>
  </si>
  <si>
    <t>一块苹果派的饼皮</t>
  </si>
  <si>
    <t>• 你用妖精与巨龙的魔法充满一个施法范围内边长20尺的立方体区域。在恶作剧之涌表格里掷骰以决定产生的魔法效应。法术持续时间内，你每回合开始时重骰这个表格。在你重骰之前，你可以把这个立方体区域移动最多10尺。
恶作剧之涌Mischievous Surge
d4  效应
1   空气中弥漫着苹果派的味道，区域内的生物必须成功通过一次感知豁免，否则将被你魅惑，直至你的下回合开始。
2   一束束鲜花出现在四周，区域内的生物必须成功通过一次敏捷豁免，否则鲜花将往他们脸上喷水，使他们陷入目盲，直至你的下回合开始。
3   区域内的每个生物必须成功通过一次感知豁免，否则将开始咯咯笑，直至你的下回合开始。一个正在咯咯笑的生物陷入失能，并使用他的所有移动力向一个随机方向移动。
4   一滴滴蜜糖出现并在区域内悬浮，将其内变成困难地形，直至你的下回合开始。</t>
  </si>
  <si>
    <t>Nathair's Mischief</t>
  </si>
  <si>
    <t>费茨本的巨龙宝库</t>
  </si>
  <si>
    <t>雾凇霜缚</t>
  </si>
  <si>
    <t>自身(30尺锥状)</t>
  </si>
  <si>
    <t>一瓶冰雪融化而成的水</t>
  </si>
  <si>
    <t>• 你爆发出一股冰冷的能量并覆盖30尺锥形区域。区域内的每个生物都必须成功通过一体质豁免，否则将受到3d8点冷冻伤害并且被冰霜包裹一分钟，或直至一个生物用动作为自己或触及范围内的其他生物破冰。被冰霜包裹的生物其速度降至0。豁免成功则伤害减半，并且不会受到其他效应影响。
• 升环施法效应：当你用3环或更高的法术位施展该法术时，你使用的法术位每比2环高一环，法术的伤害便增加1d8。</t>
  </si>
  <si>
    <t>Rime's Binding lce</t>
  </si>
  <si>
    <t>阿莎德隆奔行</t>
  </si>
  <si>
    <t>• 巨龙汹涌的火焰从你的脚边喷涌而出，赋予你爆炸般的速度。法术持续时间内，你的速度提升20尺，并且移动不会触发借机攻击。
• 当你移动至一个生物或未被着装或携带的物件5尺内时，其被你的灼热尾迹灼烧，受到1d6点火焰伤害。一个生物或物件每回合只会承受一次此伤害。
• 升环施法效应：当你用4环或更高的法术位施展该法术时，你使用的法术位每比3环高一环，你的移动速度额外增加5尺，法术造成的伤害便增加1d6。</t>
  </si>
  <si>
    <t>Ashardalon's Stride</t>
  </si>
  <si>
    <t>劳洛希姆心灵长枪</t>
  </si>
  <si>
    <t>• 你从你的额头处释放一道闪闪发光的灵能长矛，瞄准法术范围内你可见的一个生物。或者，你可以说出一个生物的名字。如果被唤名的生物身处施法距离内，即使你无法看见它，它也会成为法术的目标。如果被唤名的生物不处于施法距离内，长矛会消失并且没有任何效果。
• 目标必须成功通过一次智力豁免，否则将受到7d6点心灵伤害并陷入失能，直至你的下回合开始。豁免成功则伤害减半且不会失能。
• 升环施法效应：当你用5环或更高的法术位施展此法术时，你使用的法术位每比4环高一环，法术的伤害便增加1d6。</t>
  </si>
  <si>
    <t>Raulothim's Psychic Lance</t>
  </si>
  <si>
    <t>龙类精魄召唤术</t>
  </si>
  <si>
    <t>一件带有巨龙图案的物品，价值至少500gp</t>
  </si>
  <si>
    <t>• 你召唤出一只龙类精魄。它于施法范围内一处未被占据的空间显现。其肉体形态使用龙类精魄的数据。当你施展此法术时，选择一个龙种科目：色彩龙，宝石龙，或金属龙。该生物的长相与你所选择的龙种相似，这会决定其数据中的某些特性。该生物在法术结束或其生命值降至0时消失。
• 该生物对你和你的同伴友善。在战斗中，该生物与你共享先攻，它在你的回合结束后行动。它听从你的口头命令（无需动作）。如果你不发出指令，该生物执行回避动作，并用自己的移动力来回避危险。
• 升环施法效应：当你用6环或更高的法术位施展该法术时，用对应的环阶决定数据栏中与法术环阶有关的数据。
龙类精魂Draconic Spirit
大型龙类，绝对中立
护甲等级：14+法术环阶（天生护甲）
生命值：50+10每比五环高的法术环阶（拥有和法术环阶相等的d10生命骰）
速度 30尺，飞行60尺，游泳30尺
力量19（+4）  敏捷14（+2）  体质17（+3）
智力10（+0)   感知14（+2）  魅力14（+2）
伤害抗性（仅色彩龙与金属龙）：强酸，寒冷，火焰，闪电，毒素
伤害抗性（仅宝石龙）：力场，黯蚀，心灵，光耀，雷鸣
状态免疫：魅惑，恐慌，中毒
感官：盲视30尺，黑暗视觉60尺，被动察觉12
语言：龙语，理解所有你能说的语言
挑战等级 — 
熟练加值：等于你的熟练加值
分享抗性Share Resistances。当你召唤龙时，选择一种它具有的伤害抗性，直至法术结束，你获得该伤害抗性。
动作
多重攻击Multiattack.。龙使用它的吐息武器，并进行一定次数的啃抓攻击，等同于法术环阶的一半（向下取整）。
啃抓Rend。近战武器攻击：命中等同于你的法术攻击命中，触及10尺，单一目标。伤害：1d6+4+法术环阶的穿刺伤害。
吐息武器Breath Weapon。龙吐出一道色彩斑斓的能量并覆盖30尺锥形区域。区域内的每个生物必须进行一次敏捷豁免，否则受到2d6点伤害，伤害类型由你在龙所具有抗性的伤害类型中选择。成功则伤害减半。</t>
  </si>
  <si>
    <t>Summon Draconic Spirit</t>
  </si>
  <si>
    <t>费茨本铂金盾</t>
  </si>
  <si>
    <t>一枚镀上铂金的龙鳞，价值至少500gp</t>
  </si>
  <si>
    <t>• 你创造一道闪着银光的力场，环绕在施法距离内你所选择的一个生物周围（你可以选择你自己）。该力场散发5尺微光光照。被力场保护的生物获得以下增益：
→掩护：该生物具有半身掩护。
→伤害抗性：该生物获得对强酸，冷冻，火焰，闪电以及毒素伤害的抗性。
→反射闪避：如果该生物受到可以由成功通过敏捷豁免来使伤害减半的效应影响，该生物在成功通过豁免时改为不受任何伤害，失败则受到一半伤害。
• 在之后的回合内，你可以以一个附赠动作将该力场移动至力场周围60尺内的另一个生物身上。</t>
  </si>
  <si>
    <t>Fizban's Platinum Shield</t>
  </si>
  <si>
    <t>龙类变形术</t>
  </si>
  <si>
    <t>一个龙形小雕像，价值至少500gp</t>
  </si>
  <si>
    <t>• 伴随着一声咆哮，你用龙族的魔法变化自身，获得多种龙族特征。直至法术结束，你获得以下增益：
→盲视：你获得30尺盲视。此范围内，任何不处于全身掩护后的东西对于你来说清晰可见，即使你处于目盲状态或黑暗中。此外，你可以看见隐形的生物，除非该生物对你处于躲藏状态。
→吐息武器：当你施展此法术时，以及在法术持续时间内随后的回合内，你能用一个附赠动作呼出闪光能量并覆盖60尺锥形区域。区域内的每个生物都必须成功通过一次敏捷豁免，否则受到6d8点力场伤害，豁免成功则伤害减半。
→飞翼：虚体的飞翼从你背后长出，使你获得60尺飞行速度。</t>
  </si>
  <si>
    <t>Draconic Transformation</t>
  </si>
  <si>
    <t>魔宠群</t>
  </si>
  <si>
    <t xml:space="preserve">• 你召唤3只使用你所选择的动物精魂外貌的临时魔宠。每只魔宠所使用的规则与动物精魂外貌选项与寻获魔宠find familiar相同。该法术所召唤的所有魔宠都必须属于同一生物种类（天界生物，精类生物，邪魔；你的选择）。如果你已经以寻获魔宠find familiar或类似方式召唤一个魔宠，则你以该法术召唤的魔宠数量减少一个。
• 该法术召唤的魔宠可以与你进行心灵交流且当它们在你1英里范围内时可以与你分享它们的视觉或听觉感官。
• 当你施展施法距离为触及的法术时，该法术所召唤的其中一名魔宠可以如常传递法术。然而每回合你只能通过一只魔宠传递一次触及法术。
• 升环施法效应：使用3环或更高法术位施展该法术时，你的法术位每比2环高一环，你可以召唤一只额外的魔宠。
</t>
  </si>
  <si>
    <t>Flock of Familiars</t>
  </si>
  <si>
    <t>夸力许的失落实验室</t>
  </si>
  <si>
    <t>加德尔高塔术</t>
  </si>
  <si>
    <t>一块石头，木材或其他建筑材料的碎片</t>
  </si>
  <si>
    <t>• 你召唤一座两层的石制，木制，或其他合适建筑材料所制成的塔楼。塔的形状既可以是圆形也可以为方形。塔的每层有10尺高并有着最高100平方的面积。层与层之间的通道有一个简单的梯子与舱口组成。当你施法时，每一层有以下形式供你选择。
有床，椅子，柜子和魔法壁炉的卧室
有书桌，书，书架，羊皮纸，墨水和墨水笔的书房
有餐桌、椅子、魔法壁炉、容器和炊具的用餐处
有沙发、扶手椅、边桌和脚凳的休息室
有厕所、浴缸、魔法火盆和桑拿椅的卫生间
有望远镜和夜空地图的天文台
一间没有家具的空房间
• 塔的内部温暖而又干燥，且不受外部环境影响。任何随塔一同召唤的家具或设备如果被挪出塔外便会化为烟雾。法术结束时，与该法术无关的一切生物或物件将安全地出现在室外的地面上，且塔与其中家具的一切痕迹都将消失。
• 你可以在法术持续时再次施展该法术来将塔的存在延长24小时。在一年的时间内，你可以通过每天在相同的位置并以同样的配置来施放这个法术来创造一个永久塔。
• 升环施法效应：使用4环或更高法术位施展该法术时，你的法术位每比3环高一环，召唤的塔可以多一层。</t>
  </si>
  <si>
    <t>Galder's Tower</t>
  </si>
  <si>
    <t>加德尔急速邮差</t>
  </si>
  <si>
    <t>25金币，或同等价值的矿石货物作为法术耗材</t>
  </si>
  <si>
    <t>• 你在施法距离内的一点召唤出一名小型气元素。气元素没有形体且近乎透明，它对所有伤害免疫且无法与其他生物或物件互动。它携带着一件内部尺寸为每边3尺的打开的空箱子。当法术持续时，你可以在箱子内存放尽可能多的物品。随后你可以指定一名你曾见过至少一次，或拥有其一件身体部位，头发，指甲或类似物件的生物。
• 一旦箱子的盖子被合上，气元素与箱子将会消失，并随后在目标生物的旁边重新出现。如果目标生物处在另一个位面，或是不受魔法侦测和定位的影响，箱子里的物件将在你脚下的地面上重新出现。
• 目标生物在选择是否打开箱子前会知道其中内容，并知道在法术结束前它还有多少时间取得其中物品。其他任何生物都无法打开箱子和取得其中的内容。当法术结束或箱子内部所装物品皆被移出之后，气元素与箱子都会消失。如果目标生物命令气元素将物品返还与你，则它也会消失，而箱子内未被取出的物品将在你脚下的地面上重新出现。
• 升环施法效应：使用8环法术位施展该法术时，你可以将箱子送往与你处在不同存在位面的生物。</t>
  </si>
  <si>
    <t>Galder's Speedy Courier</t>
  </si>
  <si>
    <t>思维编码</t>
  </si>
  <si>
    <t>• 将一根手指放入你的脑袋，你从你的心灵中抽出一段记忆、一个想法或一段消息，并将其转换成一段纠缠的泛光能量带，称之为「一缕思绪」，会在法术持续时间中持存，或是持存到你再次施展此法术。一缕思绪出现在你身周五尺的一个未占据区域，作为一个微小、无重力、半实体的对象，可以被当作缎带所携带。它一般来说是静止的。
• 如果你在专注一个允许你阅读或操纵他人思维的法术或能力（如侦测思想或修改记忆）时施展此法术，你可以将不属于你的、你所阅读的思维或记忆转换为一缕思绪。
• 在握有一缕思绪时施展此法术，允许你立刻得到一缕思绪所包含的记忆、想法或消息。（在一缕思绪上施展侦测思想也有同样效果。）</t>
  </si>
  <si>
    <t>Encode Thoughts</t>
  </si>
  <si>
    <t>拉尼卡公会会长指南</t>
  </si>
  <si>
    <t>银光锐语</t>
  </si>
  <si>
    <t>1反应，当一个于你60尺内且可见的生物成功进行一次攻击检定、属性检定或豁免检定时</t>
  </si>
  <si>
    <t>• 你魔法地让触发生物分心，将其短暂的迟疑转变为另一个生物的鼓励。触发生物必须重新投掷d20并选用较低的结果。
• 之后你能选择施法距离内的一个不同生物（可以是你自己）。选择的生物在接下来的一分钟里的第一次攻击检定、属性检定或豁免检定中具有优势。一个生物在同一时间里只会拥有一次来自该法术的增益。</t>
  </si>
  <si>
    <t>Silvery Barbs</t>
  </si>
  <si>
    <t>斯翠海文：混乱之课</t>
  </si>
  <si>
    <t>借鉴才学</t>
  </si>
  <si>
    <t>一本价值至少25gp的书</t>
  </si>
  <si>
    <t>• 你从往昔的魂灵中获取知识。选择一项你没有熟练的技能。在法术的持续时间里，你拥有所选技能的熟练项。如果你再次释放该法术，该法术会提前结束。</t>
  </si>
  <si>
    <t>Borrowed Knowledge</t>
  </si>
  <si>
    <t>动力短行</t>
  </si>
  <si>
    <t>• 你用舞蹈般的步姿魔法地增强你的移动，在持续时间内你获得以下增益:
→你的速度增加10尺。
→你不会触发借机攻击。
→你能穿过另一个生物的空间，而且对你言不算是困难地形。如果你在另一个生物的空间里结束回合，你会被推挤到你最后所经过的未被占据空间里，并受到1d8力场伤害。</t>
  </si>
  <si>
    <t>Kinetic Jaunt</t>
  </si>
  <si>
    <t>涡旋翘曲</t>
  </si>
  <si>
    <t>Vortex Warp</t>
  </si>
  <si>
    <t>靡叶生华</t>
  </si>
  <si>
    <t>枯萎的藤蔓，弯折成环形</t>
  </si>
  <si>
    <t>• 选择施法距离内一点，以该点为中心的10尺半径球形区域里，你唤起死气与生机。该区域里每个由你选择的生物需进行一次体质豁免，豁免失败者受到2d6黯蚀伤害，豁免成功则伤害减半。区域里的非魔法植物都会枯萎。
此外，区域里一个你所选的生物能使用并投掷一枚未使用的生命骰。恢复投掷结果加上你的施法属性调整值点生命值。
升环施法效应：当你使用3环或更高的法术位施展该法术时，法术位每比2环高1环，法术多造成1d6伤害，选择生物能投掷的生命骰数也多1个。</t>
  </si>
  <si>
    <t>Wither and Bloom</t>
  </si>
  <si>
    <t>卡牌喷射</t>
  </si>
  <si>
    <t>自身(15尺锥形)</t>
  </si>
  <si>
    <t>一副牌组</t>
  </si>
  <si>
    <t>• 你向一处15尺锥状区域喷射卡牌，该区域内的生物必须进行一次敏捷豁免。豁免失败的生物受到2d10的力场伤害伤害并陷入目盲，直到其下一个回合结束。豁免成功则仅会受到一半伤害。
• 升环施法效应： 当你使用3环或更高法术位施放本法术时，你使用的法术位每比2环高一环，法术的伤害就增加1d10。</t>
  </si>
  <si>
    <t>Spray of Cards</t>
  </si>
  <si>
    <t>万象无常书</t>
  </si>
  <si>
    <t>敌意术</t>
  </si>
  <si>
    <t>一张描绘着 浪客Rogue 的卡牌</t>
  </si>
  <si>
    <t>• 你以魔法之词低语，令施法距离内你选择的一个生物产生敌意。目标必须进行一次感知豁免。若豁免失败，目标会受到 4d4的心灵伤害，且必须立即使用反应对你选择的另一个你能看到的生物发动一次近战攻击。如果目标无法发动这次攻击（例如它的触及范围内没有生物，或者因为它的反应无法使用），那么在你的下一回合开始前，目标的下一次攻击检定具有劣势。若豁免成功，目标仅会受到一半的伤害。
• 升环施法效应： 当你使用4环或更高法术位施放本法术时，你使用的法术位每比3环高一环，法术的伤害就增加1d4。</t>
  </si>
  <si>
    <t>Antagonize</t>
  </si>
  <si>
    <t>死神灵魄</t>
  </si>
  <si>
    <t>一张描绘着死神化身的镀金纸牌，至少价值400gp</t>
  </si>
  <si>
    <t>• 你唤来一个象征死神的灵魄。其在施法距离内你可见的一个未占据位置化为实体，并使用收割者灵魄 Reaper Spirit的数据。当其生命值降至0或法术结束时，灵魄会消失。
该灵魄在法术持续时间内对你和你的同伴们友好。在战斗中，该生物使用你的先攻，但在你回合结束后立即行动。它遵从于你的口头指令（无需任何动作）。如果你不发令，它将执行回避动作并远离危险。
• 升环施法效应：使用5环或更高法术位施放本法术时，该法术召唤的收割者灵魄数据中使用更高的法术环阶。
收割者灵魄 Reaper Spirit
中型不死生物，绝对中立
AC:11+法术环阶（天生护甲）
HP:40+高于4环每环10点
速度:30尺，飞行30尺（悬浮）
力量16（+3） 敏捷16（+3） 体质16（+3）
智力16（+3） 感知16（+3） 魅力16（+3）   
伤害免疫:黯蚀，毒素
状态免疫:魅惑，力竭，恐慌，麻痹，中毒
感官:黑暗视觉60尺，被动察觉13
语言:理解你所说的语言
挑战等级:——
熟练加值：等同于你的熟练加值
虚体移动 Incorporeal Movement。灵魄可以如同穿过困难地形一样穿过其他生物和物件。如果它在自己的回合结束时仍处在物件内部则受到5（1d10）的力场伤害。
动作Actions
多重攻击Multiattacks。灵魄发动等同于法术环阶一半的次数的攻击 （向下取整）。
收割之镰Reaping Scythe。近战武器攻击：命中使用你的法术攻击调整值(具有优势)，触及5尺，单一被作祟的生物。命中:1d8+3+该法术环阶的黯蚀伤害。
附赠动作Bonus Actions
作祟生物Haunt Creature。灵魄以自己10尺内的一个生物为目标，并开始作祟该生物。当目标被作祟时，如果目标和你在同一个存在位面上，你和灵魄就会感知到目标的方向和距离。此外，如果目标在灵魄10尺内开始其回合，则该目标必须对你的法术豁免DC进行一次成功的感知豁免，否则将陷入恐慌状态直到目标的下一回合开始。目标在死亡、灵魄消失或灵魄再次使用此动作前一直处于被作祟状态。</t>
  </si>
  <si>
    <t>Spirit of Death</t>
  </si>
  <si>
    <t>空气泡泡</t>
  </si>
  <si>
    <t>• 你指定视线范围内的一个自愿生物，并在其头部创造一个散发幽光的球体。这个球体内会充满新鲜空气直到法术结束。如果这个生物有多个头，那么球体只会出现在它的一个头周围(假设它所有的头共用一套呼吸系统，这足够让他它避免窒息)。 
• 升环施法效应：当你使用 3 环或更高的环位施放这个法术时，你使用的法术位每比 2 环高一环，就能额外创造两个新鲜空气球体。</t>
  </si>
  <si>
    <t xml:space="preserve">Air Bubble </t>
  </si>
  <si>
    <t>星界冒险指南</t>
  </si>
  <si>
    <t>创造法驱魔舵</t>
  </si>
  <si>
    <t>一根价值至少 5000gp 的水晶权杖，在施法时消耗</t>
  </si>
  <si>
    <t>• 持握用于施法成分的那根权杖并触碰一个不超过大型、未被占据的座椅。水晶权杖消失，且这个座椅被转变为法驱魔舵 。</t>
  </si>
  <si>
    <t>Create Spelljamming Helm</t>
  </si>
  <si>
    <t>侦测扭曲</t>
  </si>
  <si>
    <t>一片剃刀叶</t>
  </si>
  <si>
    <t xml:space="preserve">• 持续时间内，你能够感知到你周围30尺范围内的传送门，且不论那些传送门是否开启。
• 如果你以此侦测到了传送门，你可以再用一个动作对其进行分析。为此，你需要用施法属性进行一次DC15的属性检定。检定成功时，你将会得知这个传送门背后的目的地是哪个位面，以及他需要什么样的传送门钥匙，那之后本法术结束。检定失败时，你将不会得知该传送门的任何情报，且直到你下次施展本法术前你都无法再次对其分析。
• 本法术的侦测能力可以穿透大部分的障碍，但3尺厚的土木、1尺厚的岩石、1寸厚的常见金属、或薄薄一层铅都能阻挡本法术的侦测。 </t>
  </si>
  <si>
    <t>Warp Sense</t>
  </si>
  <si>
    <t>印记城与外域</t>
  </si>
  <si>
    <t>界门封锁</t>
  </si>
  <si>
    <t>一把损坏的传送门钥匙，作为本法术的耗材</t>
  </si>
  <si>
    <t>• 选择施法距离内的一处30尺立方区域，你加固这片区域的位面结构。这片区域内，的所有传送门都将关闭且在法术持续时间内无法被再次开启。任何能进行位面旅行或开启传送门的法术（例如 异界之门gate 或 位面转移plane shift）如果被用于进入这片区域或离开这片区域的话，都将自动失败。这片立方区域是无法移动的。
• 升环施法效应：当你使用6环或更高环阶的法术位施展本法术时，本法术将一直持续至被解除为止。</t>
  </si>
  <si>
    <t>Gate Seal</t>
  </si>
  <si>
    <t xml:space="preserve"> </t>
  </si>
  <si>
    <t>额外法术</t>
  </si>
  <si>
    <t>额外法术 Additional Spell</t>
  </si>
  <si>
    <t>材料</t>
  </si>
  <si>
    <t>效果描述</t>
  </si>
  <si>
    <t>专注，至多1轮</t>
  </si>
  <si>
    <t>自身(30尺半径)</t>
  </si>
  <si>
    <t>自身(15尺立方)</t>
  </si>
  <si>
    <t>直至被解除或被触发</t>
  </si>
  <si>
    <t>直至被驱散</t>
  </si>
  <si>
    <t>人物卡导入，基本适合全部骰娘</t>
  </si>
  <si>
    <t>→</t>
  </si>
  <si>
    <t>适用于绝大部分骰娘包括：海豹、OlivaDice、Dice!、MDice、塔骰等体系的骰子。（应该除了梨骰都行）</t>
  </si>
  <si>
    <t>角色姓名导入</t>
  </si>
  <si>
    <t>右键下格，点击“复制”，并在下方的TXT栏“粘贴”就可以导出文本，然后再选中文本，复制到最上方显示框，然后再剪切进QQ可以避免黏贴的是图片的问题。
也可以直接复制下格，复制进一个TXT文本。</t>
  </si>
  <si>
    <t>“复制”下格发送给骰娘</t>
  </si>
  <si>
    <r>
      <rPr>
        <b/>
        <sz val="11"/>
        <color theme="0"/>
        <rFont val="宋体"/>
        <family val="3"/>
        <charset val="134"/>
      </rPr>
      <t>预计更新</t>
    </r>
  </si>
  <si>
    <t>鸣谢名单</t>
  </si>
  <si>
    <t>和5E2024一起更新，之后再补上扩展里的内容</t>
  </si>
  <si>
    <t>修订者</t>
  </si>
  <si>
    <t>5E2024更新记录</t>
  </si>
  <si>
    <t>似雨悲灵</t>
  </si>
  <si>
    <t>导入适配骰娘</t>
  </si>
  <si>
    <t>红发的荷兰人偶</t>
  </si>
  <si>
    <r>
      <rPr>
        <sz val="11"/>
        <color theme="1"/>
        <rFont val="Times New Roman"/>
        <family val="1"/>
      </rPr>
      <t>QQ</t>
    </r>
    <r>
      <rPr>
        <sz val="11"/>
        <color theme="1"/>
        <rFont val="宋体"/>
        <family val="3"/>
        <charset val="134"/>
      </rPr>
      <t>：763369713</t>
    </r>
  </si>
  <si>
    <r>
      <rPr>
        <sz val="11"/>
        <color theme="1"/>
        <rFont val="Times New Roman"/>
        <family val="1"/>
      </rPr>
      <t>QQ</t>
    </r>
    <r>
      <rPr>
        <sz val="11"/>
        <color theme="1"/>
        <rFont val="宋体"/>
        <family val="3"/>
        <charset val="134"/>
      </rPr>
      <t>：</t>
    </r>
    <r>
      <rPr>
        <sz val="11"/>
        <color theme="1"/>
        <rFont val="Times New Roman"/>
        <family val="1"/>
      </rPr>
      <t>3551564294</t>
    </r>
  </si>
  <si>
    <t>反馈兼交流群：712629131</t>
  </si>
  <si>
    <t>骰主</t>
  </si>
  <si>
    <t>这张卡不禁止二次修改</t>
  </si>
  <si>
    <t>咕之勇者独孤剑</t>
  </si>
  <si>
    <r>
      <rPr>
        <b/>
        <sz val="14"/>
        <color theme="1"/>
        <rFont val="宋体"/>
        <family val="3"/>
        <charset val="134"/>
      </rPr>
      <t>也欢迎联系我反馈</t>
    </r>
    <r>
      <rPr>
        <b/>
        <sz val="14"/>
        <color theme="1"/>
        <rFont val="Times New Roman"/>
        <family val="1"/>
      </rPr>
      <t>bug</t>
    </r>
    <r>
      <rPr>
        <b/>
        <sz val="14"/>
        <color theme="1"/>
        <rFont val="宋体"/>
        <family val="3"/>
        <charset val="134"/>
      </rPr>
      <t>或增加新功能</t>
    </r>
  </si>
  <si>
    <r>
      <rPr>
        <sz val="11"/>
        <color theme="1"/>
        <rFont val="Times New Roman"/>
        <family val="1"/>
      </rPr>
      <t>QQ</t>
    </r>
    <r>
      <rPr>
        <sz val="11"/>
        <color theme="1"/>
        <rFont val="宋体"/>
        <family val="3"/>
        <charset val="134"/>
      </rPr>
      <t>：</t>
    </r>
    <r>
      <rPr>
        <sz val="11"/>
        <color theme="1"/>
        <rFont val="Times New Roman"/>
        <family val="1"/>
      </rPr>
      <t>2875391107</t>
    </r>
  </si>
  <si>
    <t>5E2014更新记录</t>
  </si>
  <si>
    <t>更新记录</t>
  </si>
  <si>
    <t>↓更新会做的东西（大概）↓</t>
  </si>
  <si>
    <t>联系方式</t>
  </si>
  <si>
    <t>Q&amp;A</t>
  </si>
  <si>
    <t>v0版本：初代目作者——猫斯基（留下NekoWorks标记的作者）版本，Nekoworks最晚记录为x2.1版本，此卡也是在该版本上进行修改的</t>
  </si>
  <si>
    <t>猫斯基（初代目作者）</t>
  </si>
  <si>
    <t>Q：这张卡免费使用吗？</t>
  </si>
  <si>
    <t>QQ：176425615</t>
  </si>
  <si>
    <t>A：当然，如果你是付费拿到的，请立马去追回自己的小钱钱！</t>
  </si>
  <si>
    <t>v1版本：AC最大敏捷结算订正</t>
  </si>
  <si>
    <t>v2版本：法术速查整合，法术书添加</t>
  </si>
  <si>
    <t>微波叮桃子（微改人物卡的家伙）</t>
  </si>
  <si>
    <t>V3：NMD，WSM……咳咳！</t>
  </si>
  <si>
    <t>QQ：2900829948</t>
  </si>
  <si>
    <t>Q：我找到了更早一代的作者诶</t>
  </si>
  <si>
    <t>v4版本：排版更改为竖排</t>
  </si>
  <si>
    <t>A：请尽可能快的联系现在的几位作者！拜托了！拜托了！拜托了！</t>
  </si>
  <si>
    <t>v4.2版本：添加角色描述</t>
  </si>
  <si>
    <t>?</t>
  </si>
  <si>
    <t>做一个好条条（法术速查工具作者）</t>
  </si>
  <si>
    <t>v4.3版本：人物血量计算小工具添加</t>
  </si>
  <si>
    <t>联系方式暂缺</t>
  </si>
  <si>
    <t>v4.3.2版本：下拉菜单添加</t>
  </si>
  <si>
    <t>Q：更新频率是多少啊？</t>
  </si>
  <si>
    <t>v4.3.4版本：主要页面施法栏变更</t>
  </si>
  <si>
    <t>欧阳天麟（参与修订的作者）</t>
  </si>
  <si>
    <t>A：看心情更新，最近大概在没有bug的情况下不怎么更新了（天麟说的）</t>
  </si>
  <si>
    <t>v4.3.5版本：属性下拉菜单更改为复选框</t>
  </si>
  <si>
    <t>QQ：895445383</t>
  </si>
  <si>
    <t>v4.3.6版本：额外添加两本法术书</t>
  </si>
  <si>
    <t>雷猫如此慵懒（参与修订的作者）</t>
  </si>
  <si>
    <t>v4.3.7版本：添加准备法术菜单</t>
  </si>
  <si>
    <t>QQ：906555822</t>
  </si>
  <si>
    <t>Q：有bug或者更新建议要反馈怎么办</t>
  </si>
  <si>
    <t>v4.3.8版本：种族属性查询工具添加</t>
  </si>
  <si>
    <t>部分作者找不到联系方式了呜呜呜呜……</t>
  </si>
  <si>
    <t>A：按顺序找最新的作者名单里的各个作者（绝对不是天麟偷懒）</t>
  </si>
  <si>
    <t>v4.3.9版本：装备同调选项添加</t>
  </si>
  <si>
    <t>有人知道的话请联系可以新的作者们</t>
  </si>
  <si>
    <t>v4.3.10版本：修复Bug</t>
  </si>
  <si>
    <t>拜托了！拜托了！拜托了！</t>
  </si>
  <si>
    <t>v4.3.11版本：法术重复项提示功能加入</t>
  </si>
  <si>
    <t>Q：跑团时候对骰娘功能不满意想要定做功能怎么办</t>
  </si>
  <si>
    <t>v4.3.12版本：专注法术绿标功能加入</t>
  </si>
  <si>
    <t>v4.3.13版本：灵巧武器攻击骰调整</t>
  </si>
  <si>
    <t>也欢迎联系作者反馈bug或增加新功能</t>
  </si>
  <si>
    <t>A：看看下边的广告，大概可以帮你定制（by天麟）</t>
  </si>
  <si>
    <t>v4.3.14版本：技能修正值统合</t>
  </si>
  <si>
    <t>修订组增加成员</t>
  </si>
  <si>
    <t>↓↓↓ 天麟试图推销自家骰郎 ↓↓↓</t>
  </si>
  <si>
    <t>v4.3.15版本：负重判定Bug修正</t>
  </si>
  <si>
    <t>天麟家的骰郎
筱朝
QQ：487515909</t>
  </si>
  <si>
    <t>←是公骰desu</t>
  </si>
  <si>
    <t>v4.3.16版本：小优化</t>
  </si>
  <si>
    <t>v4.3.17版本：武器伤害预设添加</t>
  </si>
  <si>
    <t>v4.3.18版本：加值武器结算功能追加（仅命中），背包重量修正</t>
  </si>
  <si>
    <t>v4.3.19版本：添加了部分职业能力预设</t>
  </si>
  <si>
    <t>v4.3.20版本：添加了部分专长能力预设</t>
  </si>
  <si>
    <t>v4.3.21版本：Bug修复</t>
  </si>
  <si>
    <t>是mirai框架的溯洄系骰郎（虽然bug不少就是了）</t>
  </si>
  <si>
    <t>v4.3.22版本：主要界面改版</t>
  </si>
  <si>
    <t>v4.3.23版本：额外法术添加功能试作</t>
  </si>
  <si>
    <t>v4.3.24版本：Bug修复</t>
  </si>
  <si>
    <t>v4.4.0版本：个人据点信息独立成页，主要页大幅修改，恢复种族查询页
版权信息修正及更改（2020-11-10）</t>
  </si>
  <si>
    <t>v4.4.1版本：塔莎书部分数据添加，公式函数优化（2021-06-26）</t>
  </si>
  <si>
    <t>v4.4.2版本：修正错误数据（2021-08-17）</t>
  </si>
  <si>
    <t>v4.4.2版本：修复在极端情况下敏捷为负数时导致的重甲AC异常（2021-11-08）</t>
  </si>
  <si>
    <t>辅助修订者</t>
    <phoneticPr fontId="86" type="noConversion"/>
  </si>
  <si>
    <r>
      <t>QQ</t>
    </r>
    <r>
      <rPr>
        <sz val="11"/>
        <color theme="1"/>
        <rFont val="宋体"/>
        <family val="3"/>
        <charset val="134"/>
      </rPr>
      <t>：2922785718</t>
    </r>
    <phoneticPr fontId="86" type="noConversion"/>
  </si>
  <si>
    <t>小小苏</t>
    <phoneticPr fontId="86" type="noConversion"/>
  </si>
  <si>
    <t>MadMax</t>
    <phoneticPr fontId="86" type="noConversion"/>
  </si>
  <si>
    <t>一本书会记载虚构或非虚构的内容。如果你在某些事物上参考了一本内容准确而非虚构的书，你在相关事物上的智力（奥秘、历史、自然或宗教）检定则获得+5的加值。</t>
    <phoneticPr fontId="86" type="noConversion"/>
  </si>
  <si>
    <t>D20</t>
    <phoneticPr fontId="86" type="noConversion"/>
  </si>
  <si>
    <t>O</t>
    <phoneticPr fontId="86" type="noConversion"/>
  </si>
  <si>
    <t>类型</t>
    <phoneticPr fontId="86" type="noConversion"/>
  </si>
  <si>
    <t>伤害骰</t>
    <phoneticPr fontId="86" type="noConversion"/>
  </si>
  <si>
    <t>攻击骰</t>
    <phoneticPr fontId="86" type="noConversion"/>
  </si>
  <si>
    <t>熟练</t>
    <phoneticPr fontId="86" type="noConversion"/>
  </si>
  <si>
    <t>精通</t>
    <phoneticPr fontId="86" type="noConversion"/>
  </si>
  <si>
    <t>一个扁瓶具有1品脱容量。</t>
    <phoneticPr fontId="86" type="noConversion"/>
  </si>
  <si>
    <t>工具、豁免、技能熟练与初始装备</t>
    <phoneticPr fontId="86" type="noConversion"/>
  </si>
  <si>
    <t>工具：盗贼工具、修补工具、一种自选工匠工具
豁免：体质、智力
技能：从奥秘、历史、调查、医药、自然、察觉、巧手中选两项
•任意二把简易武器
•一把轻弩和20支弩矢
•（a）镶钉皮甲或（b）鳞甲
•一个盗贼工具和地城套装</t>
    <phoneticPr fontId="86" type="noConversion"/>
  </si>
  <si>
    <t>豁免：智力、感知
技能：在奥秘、历史、洞悉、调查、医药、宗教中选择两项
装备：(A) 2把匕首，奥术法器（长棍），长袍，法术书，学者套组 以及5GP；或(B) 55GP</t>
    <phoneticPr fontId="86" type="noConversion"/>
  </si>
  <si>
    <t>豁免：体质、魅力
技能：从奥秘、欺瞒、洞悉、威吓、游说、宗教中选择两项
装备：(A)矛，2把匕首，奥术法器（水晶），地城套组以及28 GP；或者(B) 50GP</t>
    <phoneticPr fontId="86" type="noConversion"/>
  </si>
  <si>
    <t xml:space="preserve">豁免：感知、魅力
技能：从历史、洞悉、医药、游说和宗教中选择两项
装备：(A) 链甲衫，盾牌，硬头锤，圣徽，祭司套组 以及7GP；或(B) 110GP </t>
    <phoneticPr fontId="86" type="noConversion"/>
  </si>
  <si>
    <t>工具：一种工匠工具或一种乐器
豁免：力量、敏捷
技能：从特技、运动、历史、洞悉、宗教、隐匿中选择两项
装备：(A)矛，5把匕首，你在工具熟练中所选择的工匠工具或乐器，探索套组以及11GP；或者(B) 50GP</t>
    <phoneticPr fontId="86" type="noConversion"/>
  </si>
  <si>
    <t>工具：盗贼工具
豁免：敏捷、智力
技能：从特技、运动、欺瞒、洞悉、威吓、调查、察觉、表演、游说、巧手、隐匿中选择四项。
装备：(A)皮甲，2把匕首，短剑，短弓，20支箭矢，箭袋，盗贼工具，窃贼套组以及8GP；或者(B) 100GP</t>
    <phoneticPr fontId="86" type="noConversion"/>
  </si>
  <si>
    <t>魔契师</t>
    <phoneticPr fontId="86" type="noConversion"/>
  </si>
  <si>
    <t>豁免：感知，魅力
技能：从奥秘、欺瞒、威吓、洞悉、历史、自然、宗教中选择两项
装备：(A) 皮甲，镰刀， 2把匕首 ，奥术法器（法球），书（隐秘学识），学者套组 以及15GP；或者(B) 100GP</t>
    <phoneticPr fontId="86" type="noConversion"/>
  </si>
  <si>
    <t>豁免：感知、魅力
技能：在运动、洞悉、威吓、医药、游说、宗教中选择两项
装备：(A) 链甲，盾牌，长剑，6杆标枪，圣徽，祭司套组以及9GP；或者(B) 150GP</t>
    <phoneticPr fontId="86" type="noConversion"/>
  </si>
  <si>
    <t>豁免：力量、体质
技能：从特技、驯兽、运动、历史、洞悉、威吓、察觉和求生中选择两项
装备：(A)链甲，巨剑，链枷，8杆标枪，地城套组以及4GP；或者(B) 镶钉皮甲，弯刀，短剑，长弓，20支箭矢，箭袋，地城套组 以及11GP；或者(C) 155GP</t>
    <phoneticPr fontId="86" type="noConversion"/>
  </si>
  <si>
    <t>豁免：力量、敏捷
技能：从驯兽、运动、洞悉、调查、自然、察觉、隐匿和求生中选择三项
装备：(A) 镶钉皮甲，弯刀，短剑，长弓，20支箭矢，箭袋，德鲁伊法器（槲寄生枝条），探索套组以及7GP；或者(B) 150GP</t>
    <phoneticPr fontId="86" type="noConversion"/>
  </si>
  <si>
    <t xml:space="preserve">豁免：力量、体质
技能：从驯兽、运动、威吓、自然、察觉和求生中选两项
装备：(A) 巨斧，4把手斧，探索套组以及15GP；或者(B) 75GP 
</t>
    <phoneticPr fontId="86" type="noConversion"/>
  </si>
  <si>
    <t>奇械师</t>
    <phoneticPr fontId="86" type="noConversion"/>
  </si>
  <si>
    <t>工具：自选三种乐器
豁免：敏捷、魅力
技能：自选三项技能
装备：(A) 皮甲，2把匕首，你选择的乐器，艺人套组 以及19GP；或者(B) 90GP</t>
    <phoneticPr fontId="86" type="noConversion"/>
  </si>
  <si>
    <t>工具：草药工具
豁免：智力、感知
技能：从奥秘、驯兽、洞悉、医药、自然、察觉、宗教和求生中选择两项
装备：(A) 皮甲，盾牌，镰刀，德鲁伊法器（长棍），探索套组，草药工具以及9GP；或者(B) 50GP</t>
    <phoneticPr fontId="86" type="noConversion"/>
  </si>
  <si>
    <t>特别鸣谢天麟、太易、熊妈、灰灰等人，在改卡的时候借鉴了很多。
感谢 咕之勇者孤独剑，索拉，博麗鈴谷，电次，依诺提尔 等人在我制作自动卡是提供的意见与建议。（排名仅代表时间顺序）
同时感谢MadMax与小小苏两位在自动卡优化上的帮助。</t>
    <phoneticPr fontId="86" type="noConversion"/>
  </si>
  <si>
    <r>
      <t>QQ</t>
    </r>
    <r>
      <rPr>
        <sz val="11"/>
        <color theme="1"/>
        <rFont val="宋体"/>
        <family val="1"/>
        <charset val="134"/>
      </rPr>
      <t>：</t>
    </r>
    <r>
      <rPr>
        <sz val="11"/>
        <color theme="1"/>
        <rFont val="Times New Roman"/>
        <family val="1"/>
      </rPr>
      <t>709109258</t>
    </r>
    <phoneticPr fontId="86" type="noConversion"/>
  </si>
  <si>
    <t>自定义武器</t>
    <phoneticPr fontId="86" type="noConversion"/>
  </si>
  <si>
    <t>自定义武器1</t>
    <phoneticPr fontId="86" type="noConversion"/>
  </si>
  <si>
    <t>武器工坊</t>
  </si>
  <si>
    <t>武器名称</t>
    <phoneticPr fontId="86" type="noConversion"/>
  </si>
  <si>
    <t>自定义武器2</t>
    <phoneticPr fontId="86" type="noConversion"/>
  </si>
  <si>
    <t>自定义武器3</t>
    <phoneticPr fontId="86" type="noConversion"/>
  </si>
  <si>
    <t>伤害骰</t>
  </si>
  <si>
    <t>-</t>
    <phoneticPr fontId="86" type="noConversion"/>
  </si>
  <si>
    <t>使用属性</t>
  </si>
  <si>
    <t>使用属性</t>
    <phoneticPr fontId="86" type="noConversion"/>
  </si>
  <si>
    <t>大法师法袍</t>
    <phoneticPr fontId="86" type="noConversion"/>
  </si>
  <si>
    <t>把太易的自定义板块抄过来</t>
    <phoneticPr fontId="86" type="noConversion"/>
  </si>
  <si>
    <t>更新记录</t>
    <phoneticPr fontId="86" type="noConversion"/>
  </si>
  <si>
    <t>削弱芒刺</t>
  </si>
  <si>
    <t>• 你削弱施法距离内一个你看得见的生物的生命活力。目标必须通过一个体质豁免，否则就会受到1d4点黯蚀伤害并且倒地。
• 该法术的伤害会在你到达5级（2d4），11级（3d4）与17级（4d4）时增加1d4.</t>
  </si>
  <si>
    <t>Sapping Sting</t>
  </si>
  <si>
    <t>√</t>
    <phoneticPr fontId="86" type="noConversion"/>
  </si>
  <si>
    <t>荒洲探险家指南</t>
  </si>
  <si>
    <t>灵敏之赐</t>
  </si>
  <si>
    <t>• 你触碰一个自愿生物，在法术持续时间内，他的先攻掷骰中可以加入一个额外的D8。</t>
  </si>
  <si>
    <t>Gift of Alacrity</t>
  </si>
  <si>
    <t>扩大重力</t>
  </si>
  <si>
    <t>• 施法距离内你可见的一点的10尺半径球形范围内的重力暂时性地增加了。
• 在你施法时，所有处于该范围内的生物必须通过一个体质豁免。若豁免失败，该生物受到2d8点力场伤害且其移动速度在他的下个回合结束前减半。若豁免成功，该生物受到一半的伤害且在移动速度上没有减值。
• 直到你的下个回合开始，任何想要把该范围内未被着装或携带的物品移动或捡起都需要进行一次对抗你的法术豁免DC的成功的力量检定，若成功才可行。
• 升环施法效应：每当你使用2环或更高的法术位施展该法术时，每比1环多一的法术位能使该法术的伤害增加1d8。</t>
  </si>
  <si>
    <t>Magnify Gravity</t>
  </si>
  <si>
    <t>命运宠儿</t>
  </si>
  <si>
    <t>一颗至少价值100GP的白色珍珠，在施法时被消耗</t>
  </si>
  <si>
    <t>• 你给予你自己或施法距离内你可见的一个自愿生物以潜藏的幸运。在法术结束之前，当被选中的生物进行一次攻击检定，属性检定或者豁免检定时，他能够使该法术结束并扔一颗额外的D20骰，并决定使用哪一颗D20。或者，当这个生物成为一个攻击检定的目标时，他能够使该法术结束并扔一颗额外的D20骰，并决定使用哪一颗D20:攻击者所掷骰的或通过该法术所掷骰。
• 若原D20骰有优势或劣势，那么通过该法术掷出的D20在原D20的优势或劣势生效后生效。
• 升环施法效应：使用3环或更高法术位施展该法术时，每比2环高一环的法术位可以令你指定一个额外的生物。</t>
  </si>
  <si>
    <t>Fortune’s Favor</t>
  </si>
  <si>
    <t>不动物件</t>
  </si>
  <si>
    <t>至少价值25gp的金尘，在施法时消耗</t>
  </si>
  <si>
    <t>• 你触摸一个至多不超过10磅的物件，使其魔法般地固定住。你与你施法时指定的生物能够如常移动它。你也可以设置一串密码，当密码在该物件5尺内被念出时，使该法术暂时被压制1分钟。
• 若该物件被固定在空中，那么它可以至多承载4000磅的重量。更重的负载会使其坠落。另外，一个生物能以其动作进行一个对抗你的法术豁免DC的力量检定。若其成功，则该物件能被他移动10尺。
• 升环施法效应：若你使用4环或5环法术位施展该法术，使该物件移动的检定DC增加5，并且它能够承载8000磅重的负载并持续24小时。如果你用6环或者更高环的法术位施展该法术，那么使该物件移动的检定DC增加10，并且它能够承载20000磅重的负载并一直持续到法术被解除。</t>
  </si>
  <si>
    <t>Immovable Object</t>
  </si>
  <si>
    <t>魔袋术</t>
  </si>
  <si>
    <t>• 你轻弹手腕, 让你手中的一件物品消失。这件只有你能持握的，重量不超过五磅物件会被传送到一个异次元空间，它会在法术持续时间内一直停留在那里。
• 直到法术结束为止, 你可以用你的动作将物件召唤到你空余的手中, 你也可以用一个动作将该物件返还至异次元空间处。 到法术结束时仍然存在在异次元空间的物品会出现在你的位置中，你的脚下。</t>
  </si>
  <si>
    <t>Wristpocket</t>
  </si>
  <si>
    <t>脉冲波动</t>
  </si>
  <si>
    <t>• 你创造出一股强烈的冲压，将其释放向30尺锥形范围，并决定该冲压会推开还是拉近范围内的物品与生物。在锥形范围内的每个生物必须要通过一个体质豁免，若豁免失败则会受到6d6点力场伤害，豁免成功则受到一半伤害。豁免失败的生物会向你被拉进15尺，或从你处被推开15尺，取决于你施展法术时的选择。
• 另外，完全处于锥形范围内的未被着装或携带的物件也会被向你被拉进或者被推开15尺。
• 升环施法效应：当你使用4环或更高环的法术位施展该法术时，每比3环高出一环的法术位就能使法术的伤害增加1d6，并使推拉的距离增加5尺。</t>
  </si>
  <si>
    <t>Pulse Wave</t>
  </si>
  <si>
    <t>引力裂沟</t>
  </si>
  <si>
    <t>一块黑色的大理石</t>
  </si>
  <si>
    <t>• 一道半径20尺球形范围的破坏性能量在施法距离内你能看见的一点为源点形成，并开始拖拽范围内的生物。所有在范围内的生物必须进行一次体质豁免检定。若豁免失败，该生物受到5d10点力场伤害并且会被直直拉向能量的中心，并在离中心尽可能近的未被占据的空间停止（哪怕这会让他飞到天上）。若豁免成功，则其受到一半伤害并且不会被拉走。
• 升环施法效应：当你使用5环或者更高环位的法术位施展该法术时，每比4环高出一环的法术位可以使该法术的伤害增加1d10。</t>
  </si>
  <si>
    <t>Gravity Sinkhole</t>
  </si>
  <si>
    <t>时流刹转</t>
  </si>
  <si>
    <t>1反应，当你看到一个生物进行一次攻击掷骰或开始施展一个法术时使用</t>
  </si>
  <si>
    <t>• 你以触发法术的生物为目标, 其必须通过一个成功的感知豁免，否则就会消失，被驱逐到时间流的另一个时间点上并导致攻击失手或法术浪费。在目标生物的下个回合开始时，目标重新出现在他刚刚的位置或最近一处未被占据的空间。目标不记得你施展了该法术或自己被该法术影响。
• 升环施法效应：当你使用6环或更高环位的法术位施展该法术时，每比5环高出一环的法术位可以使你多指定一个目标。但所有的目标都需要在互相的30尺内。</t>
  </si>
  <si>
    <t>Temporal Shunt</t>
  </si>
  <si>
    <t>重力分裂</t>
  </si>
  <si>
    <t>一把铁料</t>
  </si>
  <si>
    <t>• 你以自身为原点咒现出一条长100尺，宽5尺的重力能量。所有在线上的生物需要进行一个体质豁免，若失败，则受到8d8点力场伤害，若豁免成功则受到一半伤害。
• 所有距离这条线10尺或以内但不在线当中的生物需要通过一个体质豁免，若失败则受到8d8点力场伤害并且会被拉向线的区域中。
• 升环施法效应：当你使用7环或更高环位的法术位施展该法术时，每比6环高出一环的法术位能使该法术的伤害增加1d8。</t>
  </si>
  <si>
    <t>Gravity Fissure</t>
  </si>
  <si>
    <t>系结本源</t>
  </si>
  <si>
    <t>一卷至少价值250金币的铂金丝线，在施法时被消耗</t>
  </si>
  <si>
    <t>• 两个施法距离内的你能看见的生物必须进行一次体质豁免，若两者在30尺内，则他们的豁免检定具有劣势。每个生物都能自愿放弃豁免。若两者中有一个豁免成功了，那么法术没有效果。若两人豁免均失败了，那么他们便会在法术持续时间内魔法般地被连接在一起，无论两人间距多少。 若其中一人受到伤害 ，另外一人也会受到等额的伤害。若其中一人恢复了生命值，另外一人也会恢复等额的生命值。
• 如果被系结的双方中任意一方的HP减少到了0，那么该法术结束。该法术在任意一方身上结束时，另外一方的法术也结束。</t>
  </si>
  <si>
    <t>Tether Essence</t>
  </si>
  <si>
    <t>暗黑星辰</t>
  </si>
  <si>
    <t>一小块碎玛瑙与一滴施法者的血液，在施法时被消耗</t>
  </si>
  <si>
    <t>• 该法术在施法距离内以你选择的一点为圆心创造一个球形范围。该圆形半径至多为40尺。区域内充斥着魔法黑暗与毁灭性的重力能量。
• 法术持续时间内，球形区域内视为困难地形。一个拥有黑暗视觉的生物没法看透这片魔法黑暗，非魔法的光源无法点亮这片区域。该区域内没法发出声音，声音也没办法穿过该区域。任何完全处于该区域内的生物或物件免疫雷鸣伤害，并且生物完全处于该区域内时处于耳聋状态。在该法术的影响范围内没有办法施展需要语言成分的法术。
• 任何在自己回合中第一次进入该区域的生物或在该区域内开始其回合的生物需要进行一次体质豁免。若豁免失败，该生物受到8d10点力场伤害，成功则只受到一半伤害。当一个生物的HP被该法术降低到0时，该生物被解离。被解离的生物与其身上穿着的，携带着的一切，除了魔法物品外，都会化为一缕灰色的烟尘。</t>
  </si>
  <si>
    <t>Dark Star</t>
  </si>
  <si>
    <t>崩坏现实</t>
  </si>
  <si>
    <t>一个水晶棱镜</t>
  </si>
  <si>
    <t>• 你将现实与时间线之间的壁垒粉碎，使一个生物陷入混沌与疯狂。目标必须通过一个感知豁免，否则将无法执行任何反应直到法术结束。被影响的生物必须在其回合开始时roll一个d10，其结果决定目标身上发生了什么，参照下方表格“崩坏现实效果”。
• 在其回合结束时，受影响的生物能重复其感知豁免，若成功，则法术结束。
崩坏现实效果
d10   效果
1–2   遥远国度之瞥。目标受到6d12点心灵伤害并且陷入震慑到本轮结束。
3–5   崩碎裂缝。目标必须通过一个敏捷豁免，若失败则受到8d12点力场伤害，若豁免成功则受到一半伤害。
6–8   虫洞。该目标与其身上所着装、携带的一切东西被传送到他30尺内你能看到的未被占据的空间。目标受到12d10点力场伤害并倒地。
9–10   暗虚之冻。 目标受到12d10点冷冻伤害并且目盲到本回合结束。</t>
  </si>
  <si>
    <t>Reality Break</t>
  </si>
  <si>
    <t>饕餮虚空</t>
  </si>
  <si>
    <t>1000尺</t>
  </si>
  <si>
    <t>一只铁制的小九芒星</t>
  </si>
  <si>
    <t>• 你以施法距离内你可见的一点为源点创造一个半径20尺的毁灭性球形力场。在法术持续时间内，球形力场与其100尺范围内的空间视为困难地形，且完全处于力场内的未被着装与携带的非魔法物件会被摧毁。
• 当力场出现时或者在你的每回合开始时，力场的100尺范围内未被着装的物件将被直直拉向力场的中心，并在距离力场中心最近的未被占据的空间停止。
• 当一个生物在力场的100尺范围内开始其回合时，其必须进行一个力量豁免，若失败则将被直直拉向力场的中心，并在距离力场中心最近的未被占据的空间停止。一个在当前回合内第一次进入力场的生物或在力场内开始其回合的生物会受到5d10点力场伤害并且被束缚，直到其离开力场范围。若力场位于空中，那么被束缚的生物将会在力场中悬浮。一个生物能以其动作进行一个对抗你的法术豁免DC的力量检定，若成功则能解除其自己或者另一个在其触及范围内的力场内的生物的束缚状态。若一个生物的HP被该法术降低至0，他与他身上携带的所有非魔法物件都会被湮灭。</t>
  </si>
  <si>
    <t>Ravenous Void</t>
  </si>
  <si>
    <t>时光蹂躏</t>
  </si>
  <si>
    <t>一个装满了钻石粉尘的沙漏，其价值至少为5000金币, 会在施法时消耗</t>
  </si>
  <si>
    <t>• 你选定一个施法距离内的目标，使他的身体形态受到飞速衰老的破坏。目标必须进行一个体质豁免并在豁免失败时受到12d10点黯蚀伤害, 或在豁免成功时只受到一半的伤害。若其豁免失败，目标还会快速老化至离老死只有三十天的时间点。在这个年龄段, 目标在攻击检定, 属性检定与豁免检定上承受劣势，其步行速度也减少一半。只有祈愿术Wish或以九环法术位施展的高等复原术Greater Restoration才能使这些效果消除并使其恢复原先的年龄。</t>
  </si>
  <si>
    <t>Time Ravage</t>
  </si>
  <si>
    <t>咒法</t>
    <phoneticPr fontId="86" type="noConversion"/>
  </si>
  <si>
    <t>1小时或仪式</t>
    <phoneticPr fontId="86" type="noConversion"/>
  </si>
  <si>
    <t>自身</t>
    <phoneticPr fontId="86" type="noConversion"/>
  </si>
  <si>
    <t>X</t>
    <phoneticPr fontId="86" type="noConversion"/>
  </si>
  <si>
    <t>熟练工具</t>
    <phoneticPr fontId="86" type="noConversion"/>
  </si>
  <si>
    <t>语言</t>
    <phoneticPr fontId="86" type="noConversion"/>
  </si>
  <si>
    <t>着装</t>
    <phoneticPr fontId="86" type="noConversion"/>
  </si>
  <si>
    <t>否</t>
    <phoneticPr fontId="86" type="noConversion"/>
  </si>
  <si>
    <t>账本笔记</t>
  </si>
  <si>
    <t>收入项目</t>
    <phoneticPr fontId="86" type="noConversion"/>
  </si>
  <si>
    <t>入账明细</t>
    <phoneticPr fontId="86" type="noConversion"/>
  </si>
  <si>
    <t>支出项目</t>
    <phoneticPr fontId="86" type="noConversion"/>
  </si>
  <si>
    <t>出账明细</t>
    <phoneticPr fontId="86" type="noConversion"/>
  </si>
  <si>
    <t>起始财富</t>
    <phoneticPr fontId="86" type="noConversion"/>
  </si>
  <si>
    <t>合计结余</t>
    <phoneticPr fontId="86" type="noConversion"/>
  </si>
  <si>
    <t>作者：悲灵</t>
    <phoneticPr fontId="86" type="noConversion"/>
  </si>
  <si>
    <t>协助者：MadMax，小小苏</t>
    <phoneticPr fontId="86" type="noConversion"/>
  </si>
  <si>
    <r>
      <t>3.0</t>
    </r>
    <r>
      <rPr>
        <sz val="11"/>
        <color theme="1"/>
        <rFont val="宋体"/>
        <family val="3"/>
        <charset val="134"/>
      </rPr>
      <t>之前：排版修改成横板</t>
    </r>
    <r>
      <rPr>
        <sz val="11"/>
        <color theme="1"/>
        <rFont val="Times New Roman"/>
        <family val="1"/>
      </rPr>
      <t xml:space="preserve">
————————————
3.1</t>
    </r>
    <r>
      <rPr>
        <sz val="11"/>
        <color theme="1"/>
        <rFont val="宋体"/>
        <family val="3"/>
        <charset val="134"/>
      </rPr>
      <t>：塔莎书法术及子职加入。</t>
    </r>
    <r>
      <rPr>
        <sz val="11"/>
        <color theme="1"/>
        <rFont val="Times New Roman"/>
        <family val="1"/>
      </rPr>
      <t xml:space="preserve">
3.2.0</t>
    </r>
    <r>
      <rPr>
        <sz val="11"/>
        <color theme="1"/>
        <rFont val="宋体"/>
        <family val="3"/>
        <charset val="134"/>
      </rPr>
      <t>：生命骰显示总数（但依旧没有分大小）。</t>
    </r>
    <r>
      <rPr>
        <sz val="11"/>
        <color theme="1"/>
        <rFont val="Times New Roman"/>
        <family val="1"/>
      </rPr>
      <t xml:space="preserve">
3.2.1</t>
    </r>
    <r>
      <rPr>
        <sz val="11"/>
        <color theme="1"/>
        <rFont val="宋体"/>
        <family val="3"/>
        <charset val="134"/>
      </rPr>
      <t>：背景与语言增加下拉栏。</t>
    </r>
    <r>
      <rPr>
        <sz val="11"/>
        <color theme="1"/>
        <rFont val="Times New Roman"/>
        <family val="1"/>
      </rPr>
      <t xml:space="preserve">
3.2.2</t>
    </r>
    <r>
      <rPr>
        <sz val="11"/>
        <color theme="1"/>
        <rFont val="宋体"/>
        <family val="3"/>
        <charset val="134"/>
      </rPr>
      <t>：武器增加枪械可选项，伤害骰与伤害类型增加公式，攻击骰显示最终数值而非算式。</t>
    </r>
    <r>
      <rPr>
        <sz val="11"/>
        <color theme="1"/>
        <rFont val="Times New Roman"/>
        <family val="1"/>
      </rPr>
      <t xml:space="preserve">
3.2.3</t>
    </r>
    <r>
      <rPr>
        <sz val="11"/>
        <color theme="1"/>
        <rFont val="宋体"/>
        <family val="3"/>
        <charset val="134"/>
      </rPr>
      <t>：护甲增加法师护甲以及两种无甲防御。</t>
    </r>
    <r>
      <rPr>
        <sz val="11"/>
        <color theme="1"/>
        <rFont val="Times New Roman"/>
        <family val="1"/>
      </rPr>
      <t xml:space="preserve">
3.2.4</t>
    </r>
    <r>
      <rPr>
        <sz val="11"/>
        <color theme="1"/>
        <rFont val="宋体"/>
        <family val="3"/>
        <charset val="134"/>
      </rPr>
      <t>：背景对应特性增加下拉栏。</t>
    </r>
    <r>
      <rPr>
        <sz val="11"/>
        <color theme="1"/>
        <rFont val="Times New Roman"/>
        <family val="1"/>
      </rPr>
      <t xml:space="preserve">
3.2.5</t>
    </r>
    <r>
      <rPr>
        <sz val="11"/>
        <color theme="1"/>
        <rFont val="宋体"/>
        <family val="3"/>
        <charset val="134"/>
      </rPr>
      <t>：合并法术书与法术查询界面，法术书扩充到</t>
    </r>
    <r>
      <rPr>
        <sz val="11"/>
        <color theme="1"/>
        <rFont val="Times New Roman"/>
        <family val="1"/>
      </rPr>
      <t>150</t>
    </r>
    <r>
      <rPr>
        <sz val="11"/>
        <color theme="1"/>
        <rFont val="宋体"/>
        <family val="3"/>
        <charset val="134"/>
      </rPr>
      <t>道。</t>
    </r>
    <r>
      <rPr>
        <sz val="11"/>
        <color theme="1"/>
        <rFont val="Times New Roman"/>
        <family val="1"/>
      </rPr>
      <t xml:space="preserve">
3.2.6</t>
    </r>
    <r>
      <rPr>
        <sz val="11"/>
        <color theme="1"/>
        <rFont val="宋体"/>
        <family val="3"/>
        <charset val="134"/>
      </rPr>
      <t>：护甲增加分隔栏。</t>
    </r>
    <r>
      <rPr>
        <sz val="11"/>
        <color theme="1"/>
        <rFont val="Times New Roman"/>
        <family val="1"/>
      </rPr>
      <t xml:space="preserve">
————————————
3.3.0</t>
    </r>
    <r>
      <rPr>
        <sz val="11"/>
        <color theme="1"/>
        <rFont val="宋体"/>
        <family val="3"/>
        <charset val="134"/>
      </rPr>
      <t>：修改排版，删除主界面查询已准备法术效果的功能（毕竟可以直接在法术书中查询），新增已知戏法与无消耗法术，合并法术</t>
    </r>
    <r>
      <rPr>
        <sz val="11"/>
        <color theme="1"/>
        <rFont val="Times New Roman"/>
        <family val="1"/>
      </rPr>
      <t>DC</t>
    </r>
    <r>
      <rPr>
        <sz val="11"/>
        <color theme="1"/>
        <rFont val="宋体"/>
        <family val="3"/>
        <charset val="134"/>
      </rPr>
      <t>与攻击骰速查；增加个人总资产计数；准备法术数量按照主职</t>
    </r>
    <r>
      <rPr>
        <sz val="11"/>
        <color theme="1"/>
        <rFont val="Times New Roman"/>
        <family val="1"/>
      </rPr>
      <t>/</t>
    </r>
    <r>
      <rPr>
        <sz val="11"/>
        <color theme="1"/>
        <rFont val="宋体"/>
        <family val="3"/>
        <charset val="134"/>
      </rPr>
      <t>兼职区分；技能熟练增加专精与万事通选择。</t>
    </r>
    <r>
      <rPr>
        <sz val="11"/>
        <color theme="1"/>
        <rFont val="Times New Roman"/>
        <family val="1"/>
      </rPr>
      <t xml:space="preserve">
3.3.1</t>
    </r>
    <r>
      <rPr>
        <sz val="11"/>
        <color theme="1"/>
        <rFont val="宋体"/>
        <family val="3"/>
        <charset val="134"/>
      </rPr>
      <t>：将法术查询的数据替换为太易的法术大全，法术大全新增专注分栏。法术书增加仪式标注。（法术大全个人是更倾向于在第一页就能看到职业栏，所以法术详情等栏的长度没拉长）</t>
    </r>
    <r>
      <rPr>
        <sz val="11"/>
        <color theme="1"/>
        <rFont val="Times New Roman"/>
        <family val="1"/>
      </rPr>
      <t xml:space="preserve">
3.3.2</t>
    </r>
    <r>
      <rPr>
        <sz val="11"/>
        <color theme="1"/>
        <rFont val="宋体"/>
        <family val="3"/>
        <charset val="134"/>
      </rPr>
      <t>：不全书除</t>
    </r>
    <r>
      <rPr>
        <sz val="11"/>
        <color theme="1"/>
        <rFont val="Times New Roman"/>
        <family val="1"/>
      </rPr>
      <t>ua</t>
    </r>
    <r>
      <rPr>
        <sz val="11"/>
        <color theme="1"/>
        <rFont val="宋体"/>
        <family val="3"/>
        <charset val="134"/>
      </rPr>
      <t>及第三方子职与专长收录完成，收录依据为玩家速查。</t>
    </r>
    <r>
      <rPr>
        <sz val="11"/>
        <color theme="1"/>
        <rFont val="Times New Roman"/>
        <family val="1"/>
      </rPr>
      <t xml:space="preserve">
3.3.3</t>
    </r>
    <r>
      <rPr>
        <sz val="11"/>
        <color theme="1"/>
        <rFont val="宋体"/>
        <family val="3"/>
        <charset val="134"/>
      </rPr>
      <t>：新增魅力项无甲防御，增加武器攻击属性值选择。</t>
    </r>
    <r>
      <rPr>
        <sz val="11"/>
        <color theme="1"/>
        <rFont val="Times New Roman"/>
        <family val="1"/>
      </rPr>
      <t xml:space="preserve">
3.3.4</t>
    </r>
    <r>
      <rPr>
        <sz val="11"/>
        <color theme="1"/>
        <rFont val="宋体"/>
        <family val="3"/>
        <charset val="134"/>
      </rPr>
      <t>：背景熟练项增加两种载具</t>
    </r>
    <r>
      <rPr>
        <sz val="11"/>
        <color theme="1"/>
        <rFont val="Times New Roman"/>
        <family val="1"/>
      </rPr>
      <t xml:space="preserve">
3.3.5</t>
    </r>
    <r>
      <rPr>
        <sz val="11"/>
        <color theme="1"/>
        <rFont val="宋体"/>
        <family val="3"/>
        <charset val="134"/>
      </rPr>
      <t>：部分名称修改</t>
    </r>
    <r>
      <rPr>
        <sz val="11"/>
        <color theme="1"/>
        <rFont val="Times New Roman"/>
        <family val="1"/>
      </rPr>
      <t xml:space="preserve">
3.3.6</t>
    </r>
    <r>
      <rPr>
        <sz val="11"/>
        <color theme="1"/>
        <rFont val="宋体"/>
        <family val="3"/>
        <charset val="134"/>
      </rPr>
      <t>：修复</t>
    </r>
    <r>
      <rPr>
        <sz val="11"/>
        <color theme="1"/>
        <rFont val="Times New Roman"/>
        <family val="1"/>
      </rPr>
      <t>bug</t>
    </r>
    <r>
      <rPr>
        <sz val="11"/>
        <color theme="1"/>
        <rFont val="宋体"/>
        <family val="3"/>
        <charset val="134"/>
      </rPr>
      <t>，增加部分个人房规选用项（游侠改为准备施法者）</t>
    </r>
    <r>
      <rPr>
        <sz val="11"/>
        <color theme="1"/>
        <rFont val="Times New Roman"/>
        <family val="1"/>
      </rPr>
      <t xml:space="preserve">
3.3.7</t>
    </r>
    <r>
      <rPr>
        <sz val="11"/>
        <color theme="1"/>
        <rFont val="宋体"/>
        <family val="3"/>
        <charset val="134"/>
      </rPr>
      <t>：修复当属性调整值为负时武器伤害计算出错的</t>
    </r>
    <r>
      <rPr>
        <sz val="11"/>
        <color theme="1"/>
        <rFont val="Times New Roman"/>
        <family val="1"/>
      </rPr>
      <t>bug</t>
    </r>
    <r>
      <rPr>
        <sz val="11"/>
        <color theme="1"/>
        <rFont val="宋体"/>
        <family val="3"/>
        <charset val="134"/>
      </rPr>
      <t>。</t>
    </r>
    <r>
      <rPr>
        <sz val="11"/>
        <color theme="1"/>
        <rFont val="Times New Roman"/>
        <family val="1"/>
      </rPr>
      <t xml:space="preserve">
3.3.8</t>
    </r>
    <r>
      <rPr>
        <sz val="11"/>
        <color theme="1"/>
        <rFont val="宋体"/>
        <family val="3"/>
        <charset val="134"/>
      </rPr>
      <t>：种族补充完成，种族特性增加自动选取（待校对）。</t>
    </r>
    <r>
      <rPr>
        <sz val="11"/>
        <color theme="1"/>
        <rFont val="Times New Roman"/>
        <family val="1"/>
      </rPr>
      <t xml:space="preserve">
3.3.9</t>
    </r>
    <r>
      <rPr>
        <sz val="11"/>
        <color theme="1"/>
        <rFont val="宋体"/>
        <family val="3"/>
        <charset val="134"/>
      </rPr>
      <t>：专长校对完成（依据为</t>
    </r>
    <r>
      <rPr>
        <sz val="11"/>
        <color theme="1"/>
        <rFont val="Times New Roman"/>
        <family val="1"/>
      </rPr>
      <t>24.6.1</t>
    </r>
    <r>
      <rPr>
        <sz val="11"/>
        <color theme="1"/>
        <rFont val="宋体"/>
        <family val="3"/>
        <charset val="134"/>
      </rPr>
      <t>版不全书），补上了奇械学徒，法术书查询部分增加下拉栏，增加房规武器</t>
    </r>
    <r>
      <rPr>
        <sz val="11"/>
        <color theme="1"/>
        <rFont val="Times New Roman"/>
        <family val="1"/>
      </rPr>
      <t>-</t>
    </r>
    <r>
      <rPr>
        <sz val="11"/>
        <color theme="1"/>
        <rFont val="宋体"/>
        <family val="3"/>
        <charset val="134"/>
      </rPr>
      <t>巨镰与蛮子无甲防御计算公式，修改部分主要界面布局（护甲与武器类型格拉长）。特殊词条武器在特性中增加注释</t>
    </r>
    <r>
      <rPr>
        <sz val="11"/>
        <color theme="1"/>
        <rFont val="Times New Roman"/>
        <family val="1"/>
      </rPr>
      <t xml:space="preserve">
————————————
3.4.0</t>
    </r>
    <r>
      <rPr>
        <sz val="11"/>
        <color theme="1"/>
        <rFont val="宋体"/>
        <family val="3"/>
        <charset val="134"/>
      </rPr>
      <t xml:space="preserve">：
各处外观布局更改。法术书扩位，法术大全的职业归属校对完成。增加技能熟练与专精的区分度（熟练为变蓝加粗，专精额外斜体，诗人万事通不改变），主要页面增加城主激励获取指示（也可以用来指示诗人激励）。
</t>
    </r>
    <r>
      <rPr>
        <sz val="11"/>
        <color theme="1"/>
        <rFont val="Times New Roman"/>
        <family val="1"/>
      </rPr>
      <t>3.4.1</t>
    </r>
    <r>
      <rPr>
        <sz val="11"/>
        <color theme="1"/>
        <rFont val="宋体"/>
        <family val="3"/>
        <charset val="134"/>
      </rPr>
      <t>：
种族特性校对完成（依据为</t>
    </r>
    <r>
      <rPr>
        <sz val="11"/>
        <color theme="1"/>
        <rFont val="Times New Roman"/>
        <family val="1"/>
      </rPr>
      <t>24.6.25</t>
    </r>
    <r>
      <rPr>
        <sz val="11"/>
        <color theme="1"/>
        <rFont val="宋体"/>
        <family val="3"/>
        <charset val="134"/>
      </rPr>
      <t>版不全书），增加</t>
    </r>
    <r>
      <rPr>
        <sz val="11"/>
        <color theme="1"/>
        <rFont val="Times New Roman"/>
        <family val="1"/>
      </rPr>
      <t xml:space="preserve"> </t>
    </r>
    <r>
      <rPr>
        <sz val="11"/>
        <color theme="1"/>
        <rFont val="宋体"/>
        <family val="3"/>
        <charset val="134"/>
      </rPr>
      <t>生物种类</t>
    </r>
    <r>
      <rPr>
        <sz val="11"/>
        <color theme="1"/>
        <rFont val="Times New Roman"/>
        <family val="1"/>
      </rPr>
      <t xml:space="preserve"> </t>
    </r>
    <r>
      <rPr>
        <sz val="11"/>
        <color theme="1"/>
        <rFont val="宋体"/>
        <family val="3"/>
        <charset val="134"/>
      </rPr>
      <t>选项。主页下方布局修改，魔宠熟练计算更改为</t>
    </r>
    <r>
      <rPr>
        <sz val="11"/>
        <color theme="1"/>
        <rFont val="Times New Roman"/>
        <family val="1"/>
      </rPr>
      <t>CR</t>
    </r>
    <r>
      <rPr>
        <sz val="11"/>
        <color theme="1"/>
        <rFont val="宋体"/>
        <family val="3"/>
        <charset val="134"/>
      </rPr>
      <t xml:space="preserve">而非等级，合并属性、动作、特性栏。新增骰娘导入页面，增加快速录卡功能。
</t>
    </r>
    <r>
      <rPr>
        <sz val="11"/>
        <color theme="1"/>
        <rFont val="Times New Roman"/>
        <family val="1"/>
      </rPr>
      <t>3.4.2</t>
    </r>
    <r>
      <rPr>
        <sz val="11"/>
        <color theme="1"/>
        <rFont val="宋体"/>
        <family val="3"/>
        <charset val="134"/>
      </rPr>
      <t xml:space="preserve">：
</t>
    </r>
    <r>
      <rPr>
        <sz val="11"/>
        <color theme="1"/>
        <rFont val="Times New Roman"/>
        <family val="1"/>
      </rPr>
      <t>bug</t>
    </r>
    <r>
      <rPr>
        <sz val="11"/>
        <color theme="1"/>
        <rFont val="宋体"/>
        <family val="3"/>
        <charset val="134"/>
      </rPr>
      <t>修复，部分公式优化，增加职业主子职区分，自动化优化</t>
    </r>
    <r>
      <rPr>
        <sz val="11"/>
        <color theme="1"/>
        <rFont val="Times New Roman"/>
        <family val="1"/>
      </rPr>
      <t>(</t>
    </r>
    <r>
      <rPr>
        <sz val="11"/>
        <color theme="1"/>
        <rFont val="宋体"/>
        <family val="3"/>
        <charset val="134"/>
      </rPr>
      <t>增加自动计算生命骰期望</t>
    </r>
    <r>
      <rPr>
        <sz val="11"/>
        <color theme="1"/>
        <rFont val="Times New Roman"/>
        <family val="1"/>
      </rPr>
      <t>),</t>
    </r>
    <r>
      <rPr>
        <sz val="11"/>
        <color theme="1"/>
        <rFont val="宋体"/>
        <family val="3"/>
        <charset val="134"/>
      </rPr>
      <t>主要页面法术的仪式与专注标识可视化优化（由于发现灰灰卡似乎是</t>
    </r>
    <r>
      <rPr>
        <sz val="11"/>
        <color theme="1"/>
        <rFont val="Times New Roman"/>
        <family val="1"/>
      </rPr>
      <t>bug</t>
    </r>
    <r>
      <rPr>
        <sz val="11"/>
        <color theme="1"/>
        <rFont val="宋体"/>
        <family val="3"/>
        <charset val="134"/>
      </rPr>
      <t>在运行，所以发挥了一点犟人精神），职业特性缓慢校对进行中（依据为</t>
    </r>
    <r>
      <rPr>
        <sz val="11"/>
        <color theme="1"/>
        <rFont val="Times New Roman"/>
        <family val="1"/>
      </rPr>
      <t>24.6.25</t>
    </r>
    <r>
      <rPr>
        <sz val="11"/>
        <color theme="1"/>
        <rFont val="宋体"/>
        <family val="3"/>
        <charset val="134"/>
      </rPr>
      <t>版不全书）。</t>
    </r>
    <r>
      <rPr>
        <sz val="11"/>
        <color theme="1"/>
        <rFont val="Times New Roman"/>
        <family val="1"/>
      </rPr>
      <t xml:space="preserve">
3.4.3</t>
    </r>
    <r>
      <rPr>
        <sz val="11"/>
        <color theme="1"/>
        <rFont val="宋体"/>
        <family val="3"/>
        <charset val="134"/>
      </rPr>
      <t>：
法术书页面法术查询方式优化，在下拉栏中选择法术时，左侧会直接显示法术详情。（注：在其余地方修改单元格内容后，速查这里会显示为空）
护甲增加属性查询（无甲防御公式与隐匿劣势和力量需求）。
主要界面单元格大小与部分单元格内容对齐修改。
武器增加徒手攻击选项，敏捷魅力无甲选项改名为舞蹈诗。</t>
    </r>
    <r>
      <rPr>
        <sz val="11"/>
        <color theme="1"/>
        <rFont val="Times New Roman"/>
        <family val="1"/>
      </rPr>
      <t xml:space="preserve">
3.4.4</t>
    </r>
    <r>
      <rPr>
        <sz val="11"/>
        <color theme="1"/>
        <rFont val="宋体"/>
        <family val="3"/>
        <charset val="134"/>
      </rPr>
      <t>：
职业特性增加等级选项，修复</t>
    </r>
    <r>
      <rPr>
        <sz val="11"/>
        <color theme="1"/>
        <rFont val="Times New Roman"/>
        <family val="1"/>
      </rPr>
      <t>bug</t>
    </r>
    <r>
      <rPr>
        <sz val="11"/>
        <color theme="1"/>
        <rFont val="宋体"/>
        <family val="3"/>
        <charset val="134"/>
      </rPr>
      <t xml:space="preserve">，增加法力值变体说明，额外法术的下拉栏内容优化。
</t>
    </r>
    <r>
      <rPr>
        <sz val="11"/>
        <color theme="1"/>
        <rFont val="Times New Roman"/>
        <family val="1"/>
      </rPr>
      <t>3.4.5</t>
    </r>
    <r>
      <rPr>
        <sz val="11"/>
        <color theme="1"/>
        <rFont val="宋体"/>
        <family val="3"/>
        <charset val="134"/>
      </rPr>
      <t>：
属性豁免熟练的选职责更改为下拉栏而非勾选框，以适配不同的软件。
（这可能是最后一次更新，之后会改为</t>
    </r>
    <r>
      <rPr>
        <sz val="11"/>
        <color theme="1"/>
        <rFont val="Times New Roman"/>
        <family val="1"/>
      </rPr>
      <t>2024</t>
    </r>
    <r>
      <rPr>
        <sz val="11"/>
        <color theme="1"/>
        <rFont val="宋体"/>
        <family val="3"/>
        <charset val="134"/>
      </rPr>
      <t>版本内容）</t>
    </r>
  </si>
  <si>
    <t>月亮学院</t>
    <phoneticPr fontId="86" type="noConversion"/>
  </si>
  <si>
    <t>月影群岛之故事</t>
    <phoneticPr fontId="86" type="noConversion"/>
  </si>
  <si>
    <t xml:space="preserve">以一个魔法动作，你可以呼唤民间传说的力量，使自身充盈着原初魔力，直至你再次使用这一特性。当你使用此特性时，从下列民间传说中选择你要呼唤的传说，当这种魔力生效期间，你的选择会赐予你特定的增益。 
生命传说Tale of Life。你呼唤生机与繁茂大地的传说。当你使用法术为一名生物恢复生命值时，你可以消耗一枚吟游诗人激励骰来增加此次恢复的生命值，其数值等同于你的吟游诗人激励骰出目。你每回合仅可使用一次此能力。 
雾纱传说Tale of Gloam。你呼唤神秘与未知之物的传说。当你使用附赠动作给予一名生物吟游诗人激励骰时，作为此附赠动作的一部分，你可以执行撤离或躲藏动作。 
欢欣传说Tale of Mirth。你呼唤欢笑与妖精诡计的传说。当一名位于你60尺范围内且你能看见的敌人豁免检定成功时，你可以使用你的反应消耗一枚吟游诗人激励骰，此生物必须投掷这枚吟游诗人激励骰并在此次豁免检定的结果中减去其出目，这可能会导致豁免失败。 </t>
    <phoneticPr fontId="86" type="noConversion"/>
  </si>
  <si>
    <t>原初颂者</t>
    <phoneticPr fontId="86" type="noConversion"/>
  </si>
  <si>
    <t>你习得德鲁伊语和一个位于德鲁伊法术列表中的戏法。它对你而言视为诗人法术，但是不计入你的已知戏法数量。 
另外，从下列技能中任选其一：驯兽，洞悉，医药，自然，察觉和求生。你拥有你所选技能的熟练项。</t>
    <phoneticPr fontId="86" type="noConversion"/>
  </si>
  <si>
    <t>月井之祝福</t>
    <phoneticPr fontId="86" type="noConversion"/>
  </si>
  <si>
    <t>你总是准备着法术月华之光Moonbeam。 
以一个附赠动作，你可以不消耗法术位地施展法术月华之光Moonbean。当你使用此特性时，你在维持此法术的专注期间会散发光芒。光芒散发期间，你5尺范围内视为微光光照，并且每当有生物失败于你这个月华之光效应的豁免，你都可以选择一名你60尺内的可见生物，令其恢复2d4点生命值。 
一旦你使用了此特性，直至你完成一次长休，你都不能再这么做。你也可以通过消耗一个3环及更高环阶的法术位恢复此特性的使用次数（无需动作）。</t>
    <phoneticPr fontId="86" type="noConversion"/>
  </si>
  <si>
    <t>踵事增华</t>
    <phoneticPr fontId="86" type="noConversion"/>
  </si>
  <si>
    <t>你来自特性月影群岛之故事的力量进一步增强。当你使用你的生命传说Tale of Life和欢愉传说Tale of Mirth时，你可以投掷1d6并用此替代你的吟游诗人激励骰*，并且当你使用你的雾纱传说Tale of Gloam时，作为此附赠动作的一部分，你也可以传送到30尺范围内一处未被占据且你可见的空间。</t>
    <phoneticPr fontId="86" type="noConversion"/>
  </si>
  <si>
    <t>知识领域</t>
    <phoneticPr fontId="86" type="noConversion"/>
  </si>
  <si>
    <t>知识祝福</t>
    <phoneticPr fontId="86" type="noConversion"/>
  </si>
  <si>
    <t>你选择一种工匠工具并获得其熟练，此外，你从下述技能中选择两项：奥秘，历史，自然或宗教。你获得这两项技能的专精。</t>
    <phoneticPr fontId="86" type="noConversion"/>
  </si>
  <si>
    <t>知识领域法术</t>
    <phoneticPr fontId="86" type="noConversion"/>
  </si>
  <si>
    <t xml:space="preserve">你与此神圣领域的链接使你始终准备了特定的法术。当你到达生命领域法术表中特定的牧师等级时，你就始终准备了表中对应的法术。
生命领域法术Life Domain Spells
牧师等级 准备法术 
3 援助术Aid，祝福术Bless 疗伤术Cure wounds，次等复原术Lesser Restoration  
5 群体治愈真言Mass Healing Word，回生术Revivify  
7 生命灵光Aura of Life，防死结界Death Ward  
9 高等复原术Greater Restoration，群体疗伤术Mass Cure Wounds  </t>
    <phoneticPr fontId="86" type="noConversion"/>
  </si>
  <si>
    <t xml:space="preserve">当你到达知识领域法术表中特定的牧师等级时，你就始终准备了表中对应的法术。
知识领域法术Knowledge Domain Spells 
牧师等级 准备法术 
3 命令术Command，通晓语言Comprehend Languages，侦测魔法Detect Magic，鉴定术Identify，
侦测思想Detect Thoughts，心灵尖刺Mind Spike 
5 解除魔法Dispel Magic，回避侦测Nondetection，巧舌术Tongues 
7 秘法眼Arcane Eye，放逐术Banishment，困惑术Confusion 
9 通晓传奇Legend Lore，探知术Scrying，突触静止Synaptic Static </t>
    <phoneticPr fontId="86" type="noConversion"/>
  </si>
  <si>
    <t>思维魔法</t>
    <phoneticPr fontId="86" type="noConversion"/>
  </si>
  <si>
    <t xml:space="preserve">以一个魔法动作，你可以花费你的一次引导神力以显现你的魔法学识。从知识领域法术表中选择一个你已经准备的法术。作为这个动作的一部分，你施展该法术而无需消耗法术位，也无需材料成分。 </t>
    <phoneticPr fontId="86" type="noConversion"/>
  </si>
  <si>
    <t>无拘心智</t>
    <phoneticPr fontId="86" type="noConversion"/>
  </si>
  <si>
    <t xml:space="preserve">你获得60尺的心灵感应。当你使用此心灵感应时，你可以同时与至多等于你智力调整值名生物（至少一名）联结。 
此外，如果你进行的智力检定的总值低于你的感知属性值，你可以使用你的感知属性值替代检定总值。 </t>
    <phoneticPr fontId="86" type="noConversion"/>
  </si>
  <si>
    <t>神之预知</t>
    <phoneticPr fontId="86" type="noConversion"/>
  </si>
  <si>
    <t xml:space="preserve">以一个附赠动作，你魔法性地扩展你的思维于未来的诸多可能性。在1小时内，你获得D20检定的优势。此特性一经使用，直至你完成长休都不能再次使用它。你也可以通过消耗一个六环及以上法术位（无需动作）来重置此特性的使用权。 </t>
    <phoneticPr fontId="86" type="noConversion"/>
  </si>
  <si>
    <t>骑士使节</t>
    <phoneticPr fontId="86" type="noConversion"/>
  </si>
  <si>
    <t>你习得一种语言（从《玩家手册》中的语言表格中选取）。 
此外，你能施展通晓语言Comprehend Languages（仅作为仪式）。你施展该法术的施法属性是智力 。</t>
    <phoneticPr fontId="86" type="noConversion"/>
  </si>
  <si>
    <t>紫晶龙伴</t>
    <phoneticPr fontId="86" type="noConversion"/>
  </si>
  <si>
    <t>你与一条刚出壳的小紫晶龙连结，其将作为你的紫晶龙伴并使用紫晶龙伴Purple Dragon Companion作为其数据卡。这条小紫晶龙对你和你的盟友态度友善，并会听从你的命令。 
战斗中的小紫晶龙The Dragon in Combat。战斗中，小紫晶龙会在你的回合中行动。它能自主地移动或使用反应，但除非你在你的回合中以一个附赠动作命令它执行其他动作，它只会执行回避动作。命令的动作可以是其数据卡中列出的动作或是之外的其他动作。如果你陷入失能，小紫晶龙将会自主行动，而非仅使用回避 动作。 
复活小紫晶龙Resurrecting the Dragon。如果小紫晶龙死亡不超过一小时，你能以一个魔法动作，并消耗一次回气次数使它复活。小紫晶龙会在一分钟后死而复生并获得所有生命值。 
除此之外，你也可以执行一次1小时的仪典（可作为短休或长休的一部分）来复活小紫晶龙。 
紫晶龙伴Purple Dragon Companion
小型龙类，中立 
AC 13+你的智力 调整值 
HP 4+你战士等级的4倍（小紫晶龙拥有与你战士等级相同数量的生命骰[D6]） 
速度 30尺，飞行30尺，游泳30尺
 调整 豁免  调整 豁免  调整 豁免 
力量 16 +3 +3  敏捷 16 +3 +3  体质  12 +1 +1 
智力 8 -1 -1  感知 13 +1 +1  魅力  10 +0 +0 
感官 黑暗视觉60尺；被动察觉11 
语言理解你说的语言；心灵感应30尺 
CR无（XP0，PB等于你的PB） 
特质Traits 
水陆两栖Amphibious。小紫晶龙可以在空气和水中呼吸。 
坚实联结Stalwart Bond。小紫晶龙进行的任何属性检定和豁免检定都可以加入你的熟练加值的一半（向下取整）。
动作Actions 
撕裂Rend。近战攻击检定：+3+你的智力调整值，触及5尺。命中：1d6+你的智力调整值点力场伤害。 
重力吐息Gravity Breath（2/日）。体质豁免检定：DC8+你的PB+你的智力调整值，15尺锥状区域内的每个生物。失败：目标被向着小紫晶龙拉近至多15尺或推开15尺（由你选择）。</t>
    <phoneticPr fontId="86" type="noConversion"/>
  </si>
  <si>
    <t>龙骑士</t>
    <phoneticPr fontId="86" type="noConversion"/>
  </si>
  <si>
    <t>你和你的小紫晶龙获得以下增益： 
巨龙坐骑Dragon Mount。你的小紫晶龙成长为中型体型。若你的体型为中型或更小，则你便可以将小紫晶龙作为坐骑来骑乘。不过小紫晶龙在被你骑乘期间，若其于只依靠自身的飞行速度悬空 并结束回合，则其会坠落。乘上或离开小紫晶龙只消耗你的5尺移动力。 
强化重力吐息Improved Gravity Breath。小紫晶龙的重力吐息变为30尺锥状 区域。当一个生物在对抗重力吐息的豁免失败时，其还会受到2d6点力场伤害。 
共享回气Shared Second Wind。当你使用回气恢复生命值时，小紫晶龙亦会恢复1d6+你的战士等级点生命值，且其重获一次重力吐息的使用次数。</t>
    <phoneticPr fontId="86" type="noConversion"/>
  </si>
  <si>
    <t>号令万军</t>
    <phoneticPr fontId="86" type="noConversion"/>
  </si>
  <si>
    <t>当你使用动作如潮时，你可以指定至多三名于源自你的30尺光环区域内的盟友。每个被指定的盟友都能使用反应 来执行以下一道选项： 
前攻Advance。该盟友用武器或徒手打击发动一次攻击。若你将你的小紫晶龙指定为目标且其选择前攻，则小紫晶龙发动一次撕裂攻击。 
后撤Retreat。该盟友移动等于其速度一半的距离且不触发借机攻击。</t>
    <phoneticPr fontId="86" type="noConversion"/>
  </si>
  <si>
    <t>紫晶升华</t>
    <phoneticPr fontId="86" type="noConversion"/>
  </si>
  <si>
    <t>你和你的小紫晶龙获得以下增益： 
非凡坐骑Superior Mount。小紫晶龙成长为大型，且其速度与飞行速度各提升至40尺。此外，当你骑乘小紫晶龙期间，它将不再回因为在滞空期间结束回合而坠落。 
联合攻击Tandem Attack。当在你的回合执行攻击动作时，你可以放弃其中一次攻击，来命令小紫晶龙发动一次撕裂攻击。你也可以放弃两次攻击，来令小紫晶龙使用其重力吐息。</t>
    <phoneticPr fontId="86" type="noConversion"/>
  </si>
  <si>
    <t>不折将官</t>
    <phoneticPr fontId="86" type="noConversion"/>
  </si>
  <si>
    <t>你和你的小紫晶龙获得对力场伤害和心灵伤害的抗性。</t>
    <phoneticPr fontId="86" type="noConversion"/>
  </si>
  <si>
    <t>紫龙骑士</t>
    <phoneticPr fontId="86" type="noConversion"/>
  </si>
  <si>
    <t>巨灵贵族之誓</t>
    <phoneticPr fontId="86" type="noConversion"/>
  </si>
  <si>
    <t>元素斩</t>
    <phoneticPr fontId="86" type="noConversion"/>
  </si>
  <si>
    <t xml:space="preserve">在你释放至圣斩之后，你可以立即消耗一次引导神力的使用次数并触发以下效应之一： 
土巨灵之碾压 Dao’s Crush。目标陷入受擒状态（逃脱DC等于你的法术豁免DC）。在受擒期间，该目标处于束缚状态。 
气巨灵之遁形 Djinni’s Escape。你可以传送至30尺范围内的一处你可见的、未被占据的空间，并化为雾状形态，这一形态持续至你的下个回合结束。在此形态期间，你免疫受擒、倒地和束缚 状态。 
火巨灵之狂怒 Efreeti’s Fury。目标额外受到2d4点火焰伤害。 
水巨灵之激流 Marid’s Surge。目标和源自你的10尺光环区域内你指定的每个生物进行一次力量豁免对抗你的法术豁免DC。豁免失败的生物被推开15尺并陷入倒地状态。 </t>
    <phoneticPr fontId="86" type="noConversion"/>
  </si>
  <si>
    <t>巨灵法术</t>
    <phoneticPr fontId="86" type="noConversion"/>
  </si>
  <si>
    <t xml:space="preserve">当你到达巨灵法术表中特定的圣武士等级时，你就始终准备了表中对应的法术。 
巨灵法术 Genie Spells 
圣武士等级 准备法术 
3 繁彩球Chromatic Orb，四象法门Elementalism，雷鸣斩Thunderous Smite  
5 镜影术Mirror Image，魅影之力Phantasmal Force 
9 飞行术Fly，气化形体Gaseous Form  
13 咒唤微元素群Conjure Minor Elementals，元素召唤术Summon Elementa 
17 放逐斩Banishing Smite，异界探知Contact Other Plane </t>
    <phoneticPr fontId="86" type="noConversion"/>
  </si>
  <si>
    <t>巨灵之辉</t>
    <phoneticPr fontId="86" type="noConversion"/>
  </si>
  <si>
    <t xml:space="preserve">若你未着装任何中甲或重甲，你的护甲等级获得等同于你魅力调整值的加值（至少+1）。 
你还可以从下列中选择一项获得熟练：特技、威吓、表演或游说。 </t>
    <phoneticPr fontId="86" type="noConversion"/>
  </si>
  <si>
    <t>元素护盾灵光</t>
    <phoneticPr fontId="86" type="noConversion"/>
  </si>
  <si>
    <t>选择以下伤害类型之一：强酸、寒冷、火焰、闪电或雷鸣。你和位于你守护灵光内的盟友获得该伤害类型的抗性。 
在你每个回合开始时，你可以将此特性影响的伤害类型更改为其他列出的选项（无需动作）。</t>
    <phoneticPr fontId="86" type="noConversion"/>
  </si>
  <si>
    <t>元素叱喝</t>
    <phoneticPr fontId="86" type="noConversion"/>
  </si>
  <si>
    <t>当你被一次攻击检定命中时，你可以使用反应使该攻击对你造成的伤害减半（向下取整）并且迫使攻击者进行一次敏捷检定，对抗你的法术豁免DC。豁免失败，攻击者受到等同于4d10+你魅力调整值的伤害。该伤害是以下类型之一（由你选择）：强酸、寒冷、火焰、闪电或雷鸣。豁免成功，则攻击者受到一半伤害。 
你可以使用此特性的次数等同于你的魅力调整值（至少一次），并且你在完成一次长休后会恢复所有已消耗的使用次数。</t>
    <phoneticPr fontId="86" type="noConversion"/>
  </si>
  <si>
    <t>贵族使徒</t>
    <phoneticPr fontId="86" type="noConversion"/>
  </si>
  <si>
    <t>以一个附赠动作，你可获得下列的增益。持续10分钟，你也可以令其提前终止（无需动作）。此特性一经使用，直至完成长休你都无法再次使用。你也可以消耗一个五环法术位（无需动作）重置此特性的使用权。
飞行 Flight。你获得60尺的飞行速度，并且可以悬浮 。
次级祈愿术 Minor Wish。当你或处于你守护灵光范围内的盟友在一次D20检定中失败时，你可以使用反应将该次D20检定改为成功。</t>
    <phoneticPr fontId="86" type="noConversion"/>
  </si>
  <si>
    <t>寒冬行者</t>
    <phoneticPr fontId="86" type="noConversion"/>
  </si>
  <si>
    <t>冰霜探索者</t>
    <phoneticPr fontId="86" type="noConversion"/>
  </si>
  <si>
    <t>你获得以下增益： 
冰冻抗性Frost Resistance。你具有寒冷伤害的抗性。 
北极打击Polar Strikes。当你用武器命中一个生物时，你可以对其额外造成1d4点寒冷伤害，每个生物每回合只能受到一次此额外伤害。该额外伤害无视目标对寒冷伤害的抗性。当你游侠等级达到11级时，此额外伤害增加至1d6。</t>
    <phoneticPr fontId="86" type="noConversion"/>
  </si>
  <si>
    <t>猎人雾凇</t>
    <phoneticPr fontId="86" type="noConversion"/>
  </si>
  <si>
    <t xml:space="preserve">冰霜如雾凇般环绕着你与你的敌人，它将保护你，减缓你的敌人。当你施展猎人印记Hunter's Mark 时，你获得等同于 1d10+你的游侠等级点临时生命值。 
此外，被你的猎人印记Hunter's Mark 标记的生物，其无法执行撤离动作。 </t>
    <phoneticPr fontId="86" type="noConversion"/>
  </si>
  <si>
    <t>寒冬行者法术</t>
    <phoneticPr fontId="86" type="noConversion"/>
  </si>
  <si>
    <t xml:space="preserve">在达到特定等级时，你会额外习得一个下方寒冬行者法术列表中列出的法术，而随后你将永远准备着这些法术。
寒冬行者法术 
游侠等级 法术 
3 冰刃Ice Knife 
5 行动无踪Pass Without Trace 
9 移除诅咒Remove Curse 
13 冰风暴Ice Storm 
17 寒冰锥Cone of Cold </t>
    <phoneticPr fontId="86" type="noConversion"/>
  </si>
  <si>
    <t>灵魂强化</t>
    <phoneticPr fontId="86" type="noConversion"/>
  </si>
  <si>
    <t>你在极端艰难的环境下生存下来的经验不仅支撑着你，也同样支撑着你的盟友。当你完成一次短休时，你可以选择等同于你感知调整值（至少1个）数量的可见生物。所选的生物恢复等同于1d10+你的游侠等级点生命值，且接下来的1小时内，其为避免或结束恐慌状态所做的豁免具有优势。 
此特性一经使用，在你完成一次长休前你都无法再次使用它。</t>
    <phoneticPr fontId="86" type="noConversion"/>
  </si>
  <si>
    <t>恶寒惩戒</t>
    <phoneticPr fontId="86" type="noConversion"/>
  </si>
  <si>
    <t>当有生物以攻击检定命中你时，你可以执行反应来迫使该生物进行一次感知豁免（DC使用你的法术豁免DC）。豁免失败时，目标将陷入恐慌状态，持续直至你的下个回合结束。因此恐慌期间，目标的移动速度还会被降至0. 
你可以使用这一反应能力的次数等同于你的感知调整值次（至少1次），而当你完成长休时，你重获全部已消耗的使用次数。</t>
    <phoneticPr fontId="86" type="noConversion"/>
  </si>
  <si>
    <t>冰之恶灵</t>
    <phoneticPr fontId="86" type="noConversion"/>
  </si>
  <si>
    <t>当你施展猎人印记Hunter's Mark 时，你还能化身为幽灵般的冰雪形态。这一形态持续直至该法术结束为止。这一特性一经使用，直到你完成一次长休前你都无法再次使用它，除非你为此消耗一枚环阶4+的法术位（无需动作）。处于该形态下，你将获得以下这些增益： 
寒冰之魂Frozen Soul。 你免疫于寒冷伤害。在你化身为冰雪形态时（以及在此形态的后续每个回合开始时），以你为源，15尺光环范围内的每名由你选择的生物都将受到2d4点寒冷伤害。 
部分虚化Partially Incorporeal。 你免疫于擒抱、倒地、束缚状态。你可以如同穿过困难地形般穿过生物与物件，但如果你在一名生物或一个物件内停下，你将受到1d10点力场伤害。如果这一形态结束时你身处一名生物或一个物件内，你将被弹出到最近的未占据空间中。</t>
    <phoneticPr fontId="86" type="noConversion"/>
  </si>
  <si>
    <t>三之门徒</t>
    <phoneticPr fontId="86" type="noConversion"/>
  </si>
  <si>
    <t>嗜血</t>
    <phoneticPr fontId="86" type="noConversion"/>
  </si>
  <si>
    <t>若你的偷袭攻击命中一名浴血生物，目标还将受到等于你游荡者等级一半（向上取整）的额外伤害，伤害类型与武器造成的伤害类型相同。 
此外，当一名你可见的敌人生命值降至0时，你能够以反应传送至位于你30尺内你可见的未占据空间内。然后你可以发动一次近战攻击。你能够执行该反应的次数等于你的智力调整值（至少一次），当你完成长休时你重获所有已消耗的次数。</t>
    <phoneticPr fontId="86" type="noConversion"/>
  </si>
  <si>
    <t>敬怖之忠</t>
    <phoneticPr fontId="86" type="noConversion"/>
  </si>
  <si>
    <t xml:space="preserve">选择死亡三神中的一位：班恩、巴尔或米尔寇。你获得一种伤害类型的抗性和施展某道戏法的能力，如下表所示。你施展该戏法的施法属性是智力。当你完成长休时，你可以重新选择一位神明。 
神明 伤害抗性 戏法 
班恩 心灵 次级幻象Minor Illusion  
巴尔 毒素 剑刃防护Blade Ward  
米尔寇 暗蚀 颤栗之触Chill Touch  </t>
    <phoneticPr fontId="86" type="noConversion"/>
  </si>
  <si>
    <t>袭杀恐惧</t>
    <phoneticPr fontId="86" type="noConversion"/>
  </si>
  <si>
    <t>你获得以下诡诈打击选项。
震怖Terrify（花费：1d6）。目标必须成功通过一次感知豁免，否则将陷入恐慌状态，持续1分钟。陷入恐慌的目标在其每个回合结束时重复豁免，成功则终止其身上的该效应。</t>
    <phoneticPr fontId="86" type="noConversion"/>
  </si>
  <si>
    <t>恶毒灵光</t>
    <phoneticPr fontId="86" type="noConversion"/>
  </si>
  <si>
    <t>你散发出与死亡三神其一相关的恶性之力。你的每个回合开始时，每个处于以你为源头的10尺光环区域内的你选择的生物受到等于你智力调整值（至少为1）的伤害，伤害类型与你选择的敬怖之忠特性赋予的抗性类型相同。 
此灵光造成的伤害无视抗性。在你陷入失能期间，此灵光失效。</t>
    <phoneticPr fontId="86" type="noConversion"/>
  </si>
  <si>
    <t>恐怖化身</t>
    <phoneticPr fontId="86" type="noConversion"/>
  </si>
  <si>
    <t>你获得以下增益：
战争暴君 Battle Tyrant。你对陷入恐惧状态的生物发动的攻击具有优势。
谋杀意向 Murderous Intent。当你投掷偷袭伤害时，你可以将伤害骰投出的1和2都视为3。</t>
    <phoneticPr fontId="86" type="noConversion"/>
  </si>
  <si>
    <t>咒火术法</t>
    <phoneticPr fontId="86" type="noConversion"/>
  </si>
  <si>
    <t>咒火迸发</t>
    <phoneticPr fontId="86" type="noConversion"/>
  </si>
  <si>
    <t>当你在你的回合中以一个魔法动作或附赠动作的一部分消耗至少1术法点时，你可以释放以下一项魔法效应（由你选择）。你每回合只能如此做一次。
炽焰鼓舞Bolstering Flames。你或者一名你可见的30尺内的生物获得等于1d4加你的魅力调整值的临时生命值。
辉耀之火Radiant Fire。 一名你可见的30尺内的生物必须通过一次对抗你法术豁免DC的敏捷豁免，否则受到1d6火焰或光耀伤害（由你选择）。</t>
    <phoneticPr fontId="86" type="noConversion"/>
  </si>
  <si>
    <t>咒火法术</t>
    <phoneticPr fontId="86" type="noConversion"/>
  </si>
  <si>
    <t xml:space="preserve">当你到达咒火法术表中特定的术士等级时，你就始终准备了表中对应的法术。 
咒火法术Spellfire Spells 
术士等级 法术 
3 疗伤术Cure Wounds，光导箭Guiding Bolt
次级复原术Lesser Restoration，灼热射线Scorching Ray 
5 活力灵光Aura of Vitality，解除魔法Dispel Magic 
7 火焰护盾Fire Shield，火墙术Wall of Fire 
9 高等复原术Greater Restoration，焰击术Flame Strike </t>
    <phoneticPr fontId="86" type="noConversion"/>
  </si>
  <si>
    <t>汲纳法术</t>
    <phoneticPr fontId="86" type="noConversion"/>
  </si>
  <si>
    <t>你始终准备法术反制Counterspell。 
此外，每当一个目标在对抗你所施展的法术反制的豁免中失败时，你重获1d4术法点。</t>
    <phoneticPr fontId="86" type="noConversion"/>
  </si>
  <si>
    <t>砥砺咒火</t>
    <phoneticPr fontId="86" type="noConversion"/>
  </si>
  <si>
    <t>你的咒火迸发更加精进。炽焰鼓舞提供的临时生命值现在额加入等同于你术士等级的数值，并且辉耀之火Radiant Fire的1d6提升为3d6。</t>
    <phoneticPr fontId="86" type="noConversion"/>
  </si>
  <si>
    <t>咒火冠冕</t>
    <phoneticPr fontId="86" type="noConversion"/>
  </si>
  <si>
    <t>以一个附赠动作，你获得1分钟下列增益。此附赠动作一经使用，直到完成一次长休前都不能再次使用。你也可以消耗7点术法点（无需动作）以恢复此特性的使用次数。
燃尽Burning Life Force。每回合一次，当你被一次攻击检定命中时，你可以消耗一定数量的生命骰，每次你能消耗的最大骰子数量等同于你的魅力调整值（至少1枚）。掷你所消耗的骰子，该次攻击的伤害减少掷骰结果加上你术士等级的数目。
飞行Flight。你获得60尺飞行速度，并且可以悬浮。
法术闪避Spell Avoidance。当你受到一个允许你进行豁免来只承受一半伤害的法术或魔法效应影响时，你在豁免成功时不受伤害，豁免失败时只承受一半伤害。你无法在陷入失能状态时使用此特性。</t>
    <phoneticPr fontId="86" type="noConversion"/>
  </si>
  <si>
    <t>剑咏者</t>
    <phoneticPr fontId="86" type="noConversion"/>
  </si>
  <si>
    <t>剑歌</t>
    <phoneticPr fontId="86" type="noConversion"/>
  </si>
  <si>
    <t>以一个附赠动作，你唤起名为剑歌Bladesong的精灵魔法，前提是你没有着装护甲或使用盾牌。
该剑歌持续1分钟，并会在你陷入失能状态，着装护甲或盾牌，或者双手并用一把武器进行攻击时提前结束。你可以在任意时间解除剑歌（无需动作）。 
剑歌激活期间，你获得下述增益。你能够唤起剑歌的次数等同于你的智力调整值（至少1次），并且你将在完成一次长休之后恢复所有已消耗的使用次数。
轻敏Agility。你获得等同于你的智力调整值的AC加值（最低为+1），且你的速度增加10尺。
剑法Bladework。当你使用拥有熟练的武器进行攻击时，你可以使用你的智力调整值取代力量或敏捷以进行攻击与伤害掷骰。
集中Focus。当你为维持专注而进行体质豁免时，你可以将你的智力调整值加到掷骰总值当中。</t>
    <phoneticPr fontId="86" type="noConversion"/>
  </si>
  <si>
    <t>战歌训练</t>
    <phoneticPr fontId="86" type="noConversion"/>
  </si>
  <si>
    <t>你获得所有不具有双手Two-Handed及重型Heavy词条的近战军用武器熟练。你可以将你拥有熟练的近战武器用作施展你的法师法术的法器。 
此外，你获得下列你所选择的一项技能的熟练：特技，运动，表演，或游说。</t>
    <phoneticPr fontId="86" type="noConversion"/>
  </si>
  <si>
    <t>额外攻击</t>
    <phoneticPr fontId="86" type="noConversion"/>
  </si>
  <si>
    <t>你在你的回合内执行攻击动作时，可以进行两次攻击而非一次。 
此外，你可以施展你的一道施法时间为动作的法师戏法以取代其中一次攻击。</t>
    <phoneticPr fontId="86" type="noConversion"/>
  </si>
  <si>
    <t>守御之歌</t>
    <phoneticPr fontId="86" type="noConversion"/>
  </si>
  <si>
    <t>剑歌激活期间，当你受到伤害时，你可以使用反应以消耗一个法术位并将该伤害降低等同于该法术位环阶5倍的数值。</t>
    <phoneticPr fontId="86" type="noConversion"/>
  </si>
  <si>
    <t>胜利之歌</t>
    <phoneticPr fontId="86" type="noConversion"/>
  </si>
  <si>
    <t>在你施展了一道施法时间为动作的法术之后，你可以执行附赠动作用武器进行一次攻击。</t>
    <phoneticPr fontId="86" type="noConversion"/>
  </si>
  <si>
    <t>制图师</t>
  </si>
  <si>
    <t>制图师</t>
    <phoneticPr fontId="86" type="noConversion"/>
  </si>
  <si>
    <t>体质与智力</t>
    <phoneticPr fontId="86" type="noConversion"/>
  </si>
  <si>
    <t>选择2项：奥秘，历史，调查，医药，自然，察觉或巧手。</t>
    <phoneticPr fontId="86" type="noConversion"/>
  </si>
  <si>
    <t>简易武器</t>
    <phoneticPr fontId="86" type="noConversion"/>
  </si>
  <si>
    <t>轻甲，中甲和盾牌</t>
    <phoneticPr fontId="86" type="noConversion"/>
  </si>
  <si>
    <t xml:space="preserve">选择A或B：（A）镶钉皮甲，匕首，盗贼工具，修补工具，地城套组，和16GP；或（B）150gp  </t>
    <phoneticPr fontId="86" type="noConversion"/>
  </si>
  <si>
    <t>魔法工艺</t>
    <phoneticPr fontId="86" type="noConversion"/>
  </si>
  <si>
    <t>你习得戏法修复术Mending。
你可以在持握修补工具时以一个魔法动作，在你自身5尺内一个未被占据的空间创造一件物品，从下表中选择这件物品：
滚珠 捕网 篮子 燃油 铺盖 纸张 铃铛 羊皮纸 毯子 长杆 滑轮组 小包 吊桶 绳索 铁蒺藜 麻袋 蜡烛 铲子 撬棍 细绳 扁瓶 火绒盒 壶 火把 油灯 小瓶 
对应物品的规则见《玩家手册》。这些物品会在1小时后消失。
你可以使用此特性的次数等同于你的智力调整值(最少一次)，你会在完成一次长休后恢复所有已使用的次数。</t>
    <phoneticPr fontId="86" type="noConversion"/>
  </si>
  <si>
    <t>你已经了解到如何通过物品引导魔法能量。参见《玩家手册》有关施法的规则。下述信息将详述如何将这些规则应用于奇械师法术，奇械师法术详见后文职业描述中的奇械师法术表。</t>
  </si>
  <si>
    <t>你已经了解到如何通过物品引导魔法能量。参见《玩家手册》有关施法的规则。下述信息将详述如何将这些规则应用于奇械师法术，奇械师法术详见后文职业描述中的奇械师法术表。</t>
    <phoneticPr fontId="86" type="noConversion"/>
  </si>
  <si>
    <t>必备工具</t>
  </si>
  <si>
    <t>的施法法器，且当你施展一个奇械师法术时必须持握着其中一件法器（意味着当你施法时，法术具有“材料M”成分）。</t>
  </si>
  <si>
    <t>准备一环或以上的法术</t>
  </si>
  <si>
    <t>改变准备法术</t>
  </si>
  <si>
    <t>仿制魔法物品</t>
  </si>
  <si>
    <t xml:space="preserve">魔法物品方案（奇械师等级2+） </t>
  </si>
  <si>
    <t>奇械师子职</t>
  </si>
  <si>
    <t>魔法物品工艺师</t>
  </si>
  <si>
    <t xml:space="preserve">魔法物品方案（奇械师等级6+） </t>
  </si>
  <si>
    <t>灵光一闪</t>
  </si>
  <si>
    <t>魔法物品熟稔</t>
  </si>
  <si>
    <t xml:space="preserve">魔法物品方案（奇械师等级10+） </t>
  </si>
  <si>
    <t>储法物品</t>
  </si>
  <si>
    <t>魔法物品专家</t>
  </si>
  <si>
    <t>魔法物品方案（奇械师等级14+）</t>
  </si>
  <si>
    <t>魔法物品大师</t>
  </si>
  <si>
    <t>奇械之魂</t>
  </si>
  <si>
    <t>你通过工具来施展你的奇械师法术。你可以使用盗贼工具，修补工具，或其他你具有熟练的工匠工具作为你的施法法器，且当你施展一个奇械师法术时必须持握着其中一件法器（意味着当你施法时，法术具有“材料M”成分）。</t>
  </si>
  <si>
    <t>你习得两个你选择的奇械师戏法。推荐酸液飞溅Acid Splash和魔法伎俩Prestidigitation。
每当你完成一次长休时，你都能将通过此特性得到的其中一个戏法替换为另一个你所选择的奇械师戏法。
当你的奇械师等级达到10级和14级时，你都能习得另一个你所选择的奇械师戏法，如奇械师特性表中戏法一列所示。</t>
    <phoneticPr fontId="86" type="noConversion"/>
  </si>
  <si>
    <t>奇械师特性表显示了你可用于施展一环及以上法术的法术位数量。你在完成一次长休时恢复所有已消耗的法术位。</t>
    <phoneticPr fontId="86" type="noConversion"/>
  </si>
  <si>
    <t>准备可供你以此特性施展的1+环的法术列表。为此，选择两个一环奇械师法术。推荐疗伤术Cure Wounds和油腻术Grease 。 
你列表中的法术数量会在你提升奇械师等级时增加，如奇械师特性表中的准备法术一列所示。每当这一列的数字增加时，选择额外的奇械师法术，直至你列表中的法术数量的数量与表格中的数字一致。选择的法术必须有相对应环阶的法术位。例如，如果你是一位5级奇械师，你的准备法术列表能包括6道一环或二环的奇械师法术，随意组合。 
如果其他奇械师特性给了你永远已准备的法术，这些法术不计入你以此法准备的法术数量，但除此以外对你来说都视为奇械师法术。</t>
    <phoneticPr fontId="86" type="noConversion"/>
  </si>
  <si>
    <t>每当你结束一次长休时，你可以改变你的法术准备列表，将任意数量的法术替换为你具有对应法术位的奇械师法术。</t>
    <phoneticPr fontId="86" type="noConversion"/>
  </si>
  <si>
    <t>奇械师法术的施法属性是智力。</t>
    <phoneticPr fontId="86" type="noConversion"/>
  </si>
  <si>
    <t>你知晓一些用来制造魔法物品的奥术方案。
已知方案Plans Known。当你获得此特性时，从魔法物品方案表（奇械师等级2+）中选择四个方案习得（见《城主指南》以了解物品的描述）。推荐次元袋Bag of Holding，水下呼吸帽Cap of Water Breathing，传讯石Sending Stones和+1战法师魔杖 Wand of the War Mage+1 。每当你提升一个奇械师等级时，你可以将其中一个你已知的方案替换为一个你能够选择的新方案。
当你达到特定奇械师等级时，你知晓另外的你选择的方案，如奇械师特性表中已知方案一列所示。
创造物品Creating an Item。当你结束长休时，你可以在持握修补工具时创造一件或两件不同的魔法物品。每件物品都基于你在此特性已知的其中一个方案。
如果一件创造物品需要同调，你可以在创造它时立刻与其同调。如果你决定以后再与这个物品进行同调，你就必须进行通常的同调程序了。
当你达到奇械师特性表中魔法物品列所示的特定的奇械师等级时，你在长休结束时可以创造的魔法物品数量会增加。每件你创造的物品都必须基于你已知的不同方案。
如果你尝试超过此特性的最大魔法物品数量，最旧的物品将会消失，随后新的物品出现。
持续时间Duration。以此特性创造的魔法物品作用如同正常的魔法物品，只是它的魔法不是永久的。当你死亡，魔法物品会在1d4天后消失。
如果你以此特性创造的一件物品是一个容器，比如次元袋Bag of Holding ，它消失时，其中的物品将无害地出现在它周围的空间中。
施法法器Spellcasting Focus。 你可以使用任何以此法创造的魔杖或武器代替使用工匠工具来作为施法法器</t>
    <phoneticPr fontId="86" type="noConversion"/>
  </si>
  <si>
    <t xml:space="preserve">魔法物品方案 同调
炼金壶 Alchemy Jug 无
次元袋 Bag of Holding 无
水下呼吸帽 Cap of Water Breathing 无
非药水、卷轴，或无诅咒的普通魔法物品（你可以多次习得该选项，且每次必须选择不同的物品；每件选择的物品算作一种不同的方案） 多种
夜视镜 Goggles of Night 无
百变工具Manifold Tool 是
连射武器Repeating Shot 是
回力武器 Returning Weapon 无
攀爬绳 Rope of Climbing 无
传讯石 Sending Stones 无
+1盾牌 Shield+1 无
侦测魔法魔杖 Wand of Magic Detection 无 
探秘魔杖 Wand of Secrets 无
 +1战法师魔杖 Wand of the War Mage+1 是 
+1武器 Weapon+1 无
</t>
    <phoneticPr fontId="86" type="noConversion"/>
  </si>
  <si>
    <t>你选择获得一项奇械师子职。炼金师Alchemist，装甲师Armorer，魔炮师Artillerist，战地匠师Battle Smith和制图师Cartographer子职业会在此职业之后详细描述。子职是一种特化，在特定的奇械师等级给予你对应的独特能力。此后你将获得每一个你所选的子职的能力，只要其所需等级等于或低于你的奇械师等级。</t>
    <phoneticPr fontId="86" type="noConversion"/>
  </si>
  <si>
    <t>你获得属性值提升专长（见第五章）或其他你满足条件的专长。如奇械师特性表所示，你还会在第8，第12，第16级时再次获得本特性。</t>
    <phoneticPr fontId="86" type="noConversion"/>
  </si>
  <si>
    <t>你的仿制魔法物品特性获得以下提升：
充能魔法物品Charge Magic Item。以一个附赠动作，你可以触碰5尺内的一件你用仿制魔法物品创造的魔法物品，并使用充能。你充能这件物品并花费一个1+环法术位。该物品获得充能数量等同于所花费的法术位环阶。
汲取魔法物品Drain Magic Item。以一个附赠动作，你可以触碰5尺内的一件你用仿制魔法物品创造的魔法物品，并让这件物品消失，将其魔法能量转变为一个法术位。如果这件物品为普通，则法术位为一环，或如果这件物品为非普通或珍稀，则法术位为2环。一旦你使用了此特性，直到完成一次长休前，你无法再这么做。任何以此特性创造的法术位会在你完成长休时消失。
转变魔法物品Transmute Magic Item。 以一个魔法动作，你可以触碰5尺内的一件你用仿制魔法物品创造的魔法物品，并将其转变为一件不同的魔法物品。最终的物品必须基于你所知晓的魔法物品方案。一旦你使用了此特性，直到完成一次长休前，你无法再这么做。
扩展仿制Expanded Replication。当你以你的仿制魔法物品特性习得方案时，你也可以从魔法物品方案表（奇械师等级6+）中选择。</t>
    <phoneticPr fontId="86" type="noConversion"/>
  </si>
  <si>
    <t>魔法物品方案 同调
+1护甲 Armor+1 无
精灵靴Boots of Elvenkind 无
折返之靴Boots of the Winding Path 无
精灵斗篷Cloak of Elvenkind 是
蝠鲼斗篷Cloak of the Manta Ray 无
魅惑镜片Eyes of Charming 是
窃贼手套Gloves of Thievery 无
显像提灯Lantern of Revealing 无
思维砥石 Mind Sharpener 无
适应项链Necklace of Adaptation 是
颤栗乐笙Pipes of Haunting 无
光耀武器 Radiant Weapon 是
斥力之盾 Repulsion Shield 无
善泳戒指Ring of Swimming 无
水上行走戒指Ring of Water Walking 无
警戒之盾Sentinel Shield 无
法力恢复戒指 Spell-Refueling Ring 是
魔法飞弹魔杖Wand of Magic Missiles 无
蛛网魔杖Wand of Web 是
警戒武器Weapon of Warning 是</t>
    <phoneticPr fontId="86" type="noConversion"/>
  </si>
  <si>
    <t>当你或你30尺内能看见的一个生物在一次属性检定或豁免检定中失败时，你可以执行一个反应，在检定结果中加入加值，这可能将失败变为成功。加值等同于你的智力调整值。
你可以执行该反应的次数等同于你的智力调整值（最小为1次）。你在完成一次长休时恢复所有消耗的使用次数。</t>
    <phoneticPr fontId="86" type="noConversion"/>
  </si>
  <si>
    <t>你在如何使用和制造魔法物品的领域独具匠心，使你获得以下好处：
额外同调Additional Attunement。你可以与至多四件魔法物品同调，而不是三件。
扩展仿制Expanded Replication。当你以你的仿制魔法物品特性习得方案时，你也可以从魔法物品方案表（奇械师等级10+）中选择。</t>
    <phoneticPr fontId="86" type="noConversion"/>
  </si>
  <si>
    <t>魔法物品方案 同调
抗性护甲 Armor of Resistance 是
淬毒匕首 Dagger of Venom 无
精灵链甲 Elven Chain 无
羽落戒指 Ring of Feather Fall 是
跳跃戒指 Ring of Jumping 是
心灵护盾戒指 Ring of Mind Shielding 是
+2盾牌 Shield+2 无
无诅咒的非普通奇物（你可以多次习得该选项，且每次必须选择不同的物品；每件选择的物品算作一种不同的方案） 多种
+2战法师魔杖 Wand of the War Mage+2 是
+2武器 Weapon+2 无
+2神威绑带 Wraps of Unarmed Power+2 无</t>
    <phoneticPr fontId="86" type="noConversion"/>
  </si>
  <si>
    <t>每当你完成一次长休时，你可以触碰一件简易或军用武器，或一件你能将其作为施法法器的物品，并选择一道一环、二环或三环的，施法时间为动作的奇械师法术储存到里面（你不必准备该法术）。
在持握物品期间，一个生物可以使用一个动作以从中造成这个法术的效果，使用你的施法属性调整值。如果这个法术需要专注，则该生物必须专注之。该法术将留存在物品中，直到使用次数用完（最大使用次数等于你智力调整值的两倍（至少两次））或直到你再次使用该特性储存一道法术到一件物品中。</t>
    <phoneticPr fontId="86" type="noConversion"/>
  </si>
  <si>
    <t>你在魔法物品上的造诣提升，使你获得以下好处：
额外同调Additional Attunement。你可以与至多五件魔法物品同调，而不是三件。
扩展仿制Expanded Replication。当你以你的仿制魔法物品特性习得方案时，你也可以从魔法物品方案表（奇械师等级14+）中选择。</t>
    <phoneticPr fontId="86" type="noConversion"/>
  </si>
  <si>
    <t>魔法物品方案 同调
+2护甲 Armor+2 无
吸矢盾 Arrow-Catching Shield 是
焰舌 Flame Tongue 是
无诅咒的珍稀奇物（你可以多次习得该选项，且每次必须选择不同的物品；每件选择的物品算作一种不同的方案） 多种
自由行动戒指 Ring of Free Action 是
防御戒指 Ring of Protection 是
公羊戒指 Ring of the Ram 是</t>
    <phoneticPr fontId="86" type="noConversion"/>
  </si>
  <si>
    <t>现在你可以与至多六件魔法物品同调，而不是三件。</t>
    <phoneticPr fontId="86" type="noConversion"/>
  </si>
  <si>
    <t>你获得一项传奇恩惠专长（见第五章）或其他一项你选择的适用的专长。推荐选择能量抗性之恩惠Boon of Energy Resistance。</t>
    <phoneticPr fontId="86" type="noConversion"/>
  </si>
  <si>
    <t>你与你的魔法物品建立了一种神秘的联系，你可以利用它来产生协助效果。你获得以下增益：
幸免于难Cheat Death。当你的生命值降至0，但没有立即被杀死时，你可以解除任意件你仿制魔法物品特性创造的，稀有度为非普通或珍稀的魔法物品，并将你的生命值改为20*魔法物品解离熟练而不是0。
魔法指引Magical Guidance。当你与至少一件魔法物品同调时，每当你使用你的灵光一闪，但应用至属性检定或豁免检定后仍然失败时，灵光一闪的次数不会被花费。</t>
    <phoneticPr fontId="86" type="noConversion"/>
  </si>
  <si>
    <t>魔炮师</t>
    <phoneticPr fontId="86" type="noConversion"/>
  </si>
  <si>
    <t>装甲师</t>
    <phoneticPr fontId="86" type="noConversion"/>
  </si>
  <si>
    <t>实验性灵药</t>
  </si>
  <si>
    <t>炼金术掌握</t>
  </si>
  <si>
    <t>复原药剂</t>
  </si>
  <si>
    <t>炼金专家</t>
  </si>
  <si>
    <t>你获得炼金工具的熟练。如果你已经拥有对应熟练，则你获得另一种你选择的工匠工具的熟练。
另外，当你使用《城主指南》的制造规则酿造药水时，制造所需花费的时间减半。</t>
    <phoneticPr fontId="86" type="noConversion"/>
  </si>
  <si>
    <t xml:space="preserve">在达到下方炼金师法术列表中列出特定奇械师等级时，你将始终准备了等级对应的法术。
奇械师等级 法术 
3 治愈真言Healing Word，致病射线Ray of Sickness  
5 炽焰法球Flaming Sphere，马友夫酸液箭Melf's Acid Arrow  
9 气化形体Gaseous Form，群体治愈真言Mass Healing Word  
13 防死结界Death Ward，浓酸球Vitriolic Sphere  
17 死云术Cloudkill，死者复活Raise Dead  </t>
    <phoneticPr fontId="86" type="noConversion"/>
  </si>
  <si>
    <t xml:space="preserve">每当你完成一次长休，持握着炼金工具时，你可以使用那件工具魔法性地制造两瓶灵药。为每瓶灵药在实验性灵药表中投掷灵药的效果，并在某人喝下灵药时触发效果。灵药会出现在一个扁瓶中，扁瓶会在灵药喝下或泼洒出后消失。当你完成长休时若还有保留下的灵药，该灵药和扁瓶都会消失。
喝下灵药Drink an Elixir。以一个附赠动作，一个生物可以喝下一瓶灵药，或将其喂给它5尺内的另一个生物。
创造额外的灵药Creating Aditional Elixirs。持握炼金工具时以一个魔法动作，你可以消耗一个法术位来创造另一瓶灵药。当你这么做的时候，你从实验性灵药表中选择它的效果，而不是投掷。
当你抵达特定奇械师等级时，你可以在每次长休结束时制造额外的灵药：5级一共三瓶，9级一共四瓶，15级一共五瓶。
实验性灵药D6 效果 
1 治疗Healing。饮用者恢复等同于2d8外加你智力调整值的生命值。 
2 疾速Swiftness。饮用者的速度增加10尺，持续1小时。 
3 韧性Resilience。饮用者的AC获得+1加值，持续10分钟。 
4 气魄Boldness。饮用者可以投掷1d4，在接下来一分钟内，能够在每次攻击检定和豁免检定中加入这个值。 
5 飞行Flight。饮用者获得10尺飞行速度，持续10分钟。 </t>
    <phoneticPr fontId="86" type="noConversion"/>
  </si>
  <si>
    <t>每当你使用你的炼金工具作为施法法器施展一个法术，你在该法术的其中一次掷骰中得到加值。这次掷骰必须是恢复生命值，或是造成强酸，火焰，暗蚀，或毒素伤害。加值等同于你的智力调整值（最小值为+1）。</t>
  </si>
  <si>
    <t>你可以在你的一些作品中加入复原药剂：
抗力Fortify。每当一个生物喝下一瓶你用实验性灵药特性创造的灵药时，该生物获得等同于你智力调整值外加你奇械师等级点临时生命值。
复原Restore。你可以施展次级复原术Lesser Restoration而不花费法术位，只需使用炼金工具作为施法法器。你可以这么做的次数等同于你的智力调整值（最小为1次），且当你完成一次长休时，恢复所有已被消耗的次数。</t>
    <phoneticPr fontId="86" type="noConversion"/>
  </si>
  <si>
    <t>你获得以下好处：
炼金喷发Alchemical Eruption。当你施展一道奇械师法术，对一个目标造成强酸，火焰，暗蚀，或毒素伤害时，你可以对那个目标额外造成2d8点力场伤害。你的每个回合只能使用这一好处一次。
炼金抗性Chemical Resistance。你获得对强酸伤害和毒素伤害的抗性。
咒唤坩埚Conjured Cauldron。你可以施展塔莎泡泡坩埚Tasha's Bubbling Cauldron而不消耗法术位，无需准备该法术，也无需法术成分，只需使用炼金工具作为施法法器。一旦你使用了这一特性，直到你完成一次长休前你无法再次使用它。</t>
    <phoneticPr fontId="86" type="noConversion"/>
  </si>
  <si>
    <t>奥能装甲</t>
  </si>
  <si>
    <t>装甲型号</t>
  </si>
  <si>
    <t>无畏战甲</t>
  </si>
  <si>
    <t>卫护拳甲</t>
  </si>
  <si>
    <t>渗透圣甲</t>
  </si>
  <si>
    <t>装甲仿制</t>
  </si>
  <si>
    <t>完美装甲</t>
  </si>
  <si>
    <t>你获得重甲的受训。你也获得铁匠工具的熟练。如果你已经拥有此工具的熟练，则你获得另一种你选择的工匠工具的熟练。
另外，当你使用《城主指南》的制造规则锻造非魔法或魔法的盔甲时，制造所需花费的时间减半。</t>
    <phoneticPr fontId="86" type="noConversion"/>
  </si>
  <si>
    <t xml:space="preserve">在达到下方装甲师法术列表中列出特定奇械师等级时，你将始终准备了等级对应的法术。 
装甲师法术
奇械师等级 法术 
3 魔法飞弹Magic Missile，雷鸣波thunderwave  
5 镜影术mirror image，粉碎音波shatter  
9 催眠图纹hypnotic pattern，闪电束lightning bolt  
13 火焰护盾fire shield，高等隐形术greater invisibility  
17 穿墙术passwall，力场墙wall of force  </t>
    <phoneticPr fontId="86" type="noConversion"/>
  </si>
  <si>
    <t>你手中拿着铁匠工具期间以一个魔法动作，你可以将一套你穿着中的护甲转变为奥能装甲。这套护甲会持续变为奥能装甲，直到你穿戴了另外一套护甲，或你死亡。
穿戴你的奥能装甲期间，你获得以下好处：
无需力量需求No Strength Requirement。如果这套护甲正常时有力量需求，则对你来说奥能装甲将没有这个先决条件。
速穿速脱Quick Don and Doff。你可以以一个操作动作穿戴和卸除这套装甲。
第二肌肤Second Skin。装甲附着在你身上，无法在违抗你的意志情况下被移除。它也扩展到覆盖你的整个身体，以一个附赠动作，你还能撤下或戴上你的头盔。这套装甲会替换你所有缺失的肢体，替换的肢体部分能够像正常肢体一样作用。
施法法器Spellcasting Focus。你可以使用奥能装甲作为施法法器施展奇械师法术。</t>
    <phoneticPr fontId="86" type="noConversion"/>
  </si>
  <si>
    <t>你可以定制你的奥能装甲。当你这么做的时候，从下述装甲型号中选择一项：无畏战甲，卫护拳甲，或渗透圣甲。你所选择的型号会在你穿戴它期间给予你特别的好处。
每一种型号都提供特别的武器。当你使用那件武器发动攻击时，你可以加入你的智力调整值，而不是力量或敏捷调整值，在攻击和伤害检定中。
每当你持有铁匠工具完成一次短休或长休，你可以改变装甲的型号。</t>
    <phoneticPr fontId="86" type="noConversion"/>
  </si>
  <si>
    <t>你将你的装甲设计为战斗中高大威武的破坏者。它具有以下特性： 
装甲链枷Armor Flail。拴着链子的铁球出现在你装甲的其中一个护手上，且具有以下特质：
武器类型。简易近战。
命中伤害。1d10钝击，外加攻击检定所使用的属性调整值。
词条。触及。
伟岸身姿Giant Stature。以一个附赠动作，你转变形态，并增大你的装甲，持续一分钟。持续时间内，你的触及提升5尺，且如果你比大型更小，你和任何你所着装的物品将变为大型。如果没有足够大的空间使你提升你的体型，则你的体型不会改变。你可以使用该附赠动作的次数等同于你的智力调整值（最少为1次）。当你完成一次长休后，你恢复所有已消耗的次数。
粉碎之球Wrecking Ball。当你使用链枷命中一个至少小于你一个体型的生物时，你可以将该生物直线推离你至多10尺，或向你拉近至多10尺。</t>
    <phoneticPr fontId="86" type="noConversion"/>
  </si>
  <si>
    <t>你将你的装甲设计为湍流里的顽石。它具有以下特性：
雷霆战拳Thunder Gauntlets。装甲的每件护手都具有以下特质：
武器类型。简易近战。
命中伤害。1d8雷鸣，外加攻击检定所使用的属性调整值。
涣散脉冲Distracting Pulse。被你的护手击中的生物在对除你以外的目标的攻击检定中具有劣势，直到你的下一个回合开始。
防护场Defensive Field。你处于浴血期间，你可以消执行一个附赠动作，并获得等同于你奇械师等级的临时生命值。你会在卸除这套装甲期间失去这些临时生命值。</t>
    <phoneticPr fontId="86" type="noConversion"/>
  </si>
  <si>
    <t>你将你的装甲设计为处理一些隐秘的工作。它具有以下特性：
闪电发射器Lightning Launcher。一块宝石样的节点出现在其中一只装甲护手上，或在装甲的胸口（由你选择），它具有以下特质：
武器类型。简易远程
命中伤害。1d6闪电，外加攻击检定所使用的属性调整值。
词条。投掷（射程90/300尺）
闪电震颤Lightning Jolt。当你使用你的闪电发射器命中一个生物，你的每个回合一次，你可以对那个目标额外造成1d6闪电伤害。
动力步伐Powered Steps。你的速度提升5尺。
减震场 Dampening Field。你在敏捷（隐匿）检定中具有优势。如果你的盔甲原本会让你在此检定上具有劣势，优势和劣势将会正常抵消。</t>
    <phoneticPr fontId="86" type="noConversion"/>
  </si>
  <si>
    <t>每当你在自己回合内执行攻击动作时，可以发动两次攻击而非一次。</t>
  </si>
  <si>
    <t>你为你的仿制魔法物品特性知晓了一种额外的方案，且其必须是一种护甲类别。如果你替换了这一方案，则你必须将其替换为另一种盔甲方案。
另外，你可以用那个特性创造一个额外的物品，且这件物品必须是护甲类别。</t>
    <phoneticPr fontId="86" type="noConversion"/>
  </si>
  <si>
    <t>基于奥能装甲类型，你的装甲获得了额外的增益，如下述所叙。
无畏战甲Dreadnaught。
你的装甲链枷的伤害骰提升至2d6钝击伤害。
另外，当你使用你的伟岸身姿时，你的触及提升10尺，你的体型可以提升至大型或巨型（由你选择），且你获得等同于你速度的飞行速度。
卫护拳甲Guardian。
你的雷霆战拳的伤害骰提升至1d10雷鸣伤害。
另外，当一个巨型或更小的你能看见的生物在你30尺范围内结束回合时，你可以一个反应，并魔法性地迫使那个生物进行一次对抗你法术豁免DC的力量豁免。豁免失败时，你将该生物直接牵引至25尺内一处未被占据的空间。如果你牵引该目标至你5尺内的一处空间，作为该反应的一部分，你还可以对其发动一次近战武器攻击。
你可以执行该反应的次数等同于你的智力调整值（最小为1次），且当你完成一次长休后恢复所有已消耗的次数。
渗透圣甲Infiltrator。
你的闪电发射器的伤害骰提升至2d6闪电伤害。任何因你的闪电发射器受到闪电伤害的生物微弱地发出着魔法的光芒，直到你的下一个回合开始。任何发微光的生物会照亮5尺半径的区域为微光，光线会在它攻击你时造成干扰，使其对你的攻击检定具有劣势。</t>
    <phoneticPr fontId="86" type="noConversion"/>
  </si>
  <si>
    <t>魔能炮台</t>
  </si>
  <si>
    <t>奥法火器</t>
  </si>
  <si>
    <t>高爆炮台</t>
  </si>
  <si>
    <t>要塞阵地</t>
  </si>
  <si>
    <t>你获得木雕工具的熟练。如果你已经拥有对应熟练，则你获得另一种你选择的工匠工具的熟练。
另外，当你使用《城主指南》的制造规则制造魔杖时，制造所需花费的时间减半。</t>
    <phoneticPr fontId="86" type="noConversion"/>
  </si>
  <si>
    <t xml:space="preserve">在达到下方魔炮师法术列表中列出特定奇械师等级时，你将始终准备了等级对应的法术。 
魔炮师法术
奇械师等级 法术 
3 护盾术shield，雷鸣波thunderwave  
5 灼热射线scorching ray，粉碎音波shatter  
9 火球术fireball，风墙术wind wall  
13 冰风暴ice storm，火墙术wall of fire  
17 寒冰锥cone of cold，力场墙wall of force  </t>
    <phoneticPr fontId="86" type="noConversion"/>
  </si>
  <si>
    <t>你可以执行一个魔法动作，使用木雕工具或铁匠工具，在你5尺内的水平平面上一处未被占据的空间里创造一个小型或微型的魔能炮台。炮台的游戏数据展示如下。你决定它的外观，包括选择是带腿还是轮子。它会在它的生命值降低为0或1小时后消失。你可以以一个魔法动作提前解散它。
你创造了一门炮台后，直到你完成了一次长休前你无法再这么做，你可以消耗了一个法术位创造新的炮台。同一时间，你只能拥有一台炮台，炮台在场期间，你不能创造新的炮台。</t>
    <phoneticPr fontId="86" type="noConversion"/>
  </si>
  <si>
    <t>小型或微型物件
护甲等级：18
生命值：5 x 你的奇械师等级（向炮台施展修复术Mending会使其恢复2d6点生命）
免疫：毒素，心灵
激活炮台Activate Cannon（需要你在炮台60尺内）。以一个附赠动作，你命令你的炮台使用如下的投火机，力场弩炮，或防御者选项；你可以在该选项之前或之后指挥炮台移动至多15尺：
投火机Flamethrower。炮台喷出15尺锥状火焰。区域内的每个生物进行一次对抗你法术豁免DC的敏捷豁免，失败时受到2d8火焰伤害，成功减半。锥状内未被着装或携带的易燃物品将会开始燃烧。
力场弩炮Force Ballista。以炮台为源点对120尺内的一个生物或物品进行一次远程法术攻击。命中时，目标受到2d8点力场伤害，且如果目标是一个生物，它会被向着远离炮台的方向推开5尺。
防御者Protector。炮台释放出一股正能量，给予它自己和其10尺内的每个你选择的生物等同于1d8外加你的智力调整值（最少为1点）点临时生命值。</t>
    <phoneticPr fontId="86" type="noConversion"/>
  </si>
  <si>
    <t>当你完成一次长休时，你可以使用木雕工具在一根权杖、法杖，或魔杖上雕刻特殊的符文，并将其转变为你的奥法火器。印记会在你为不同的物件雕刻消失。否则印记将会持续存在。
你可以将你的奥法火器作为你施展奇械师法术的施法法器。当你用这把火器施展奇械师法术时，投掷1d8，你在该法术的其中一次伤害掷骰中加入与掷骰结果相同的加值。</t>
    <phoneticPr fontId="86" type="noConversion"/>
  </si>
  <si>
    <t>你制造的每一门奥法炮台都将拥有更大的破坏力。你获得以下的好处：
引爆Detonate。当你的炮台生命值降低为0时，若你在其60尺内，你可以执行一个反应以命令引爆炮台。这么做会摧毁炮台，并迫使其20尺内的每个生物进行一次对抗你法术豁免DC的敏捷豁免，失败时受到3d10力场伤害，成功减半。
火力Firepower。炮台的伤害掷骰增加1d8。</t>
    <phoneticPr fontId="86" type="noConversion"/>
  </si>
  <si>
    <t>你成为了用魔能炮台构筑阵地的大师。你获得以下好处：
双倍火力Double Firepower。现在你能同时拥有两门炮台。你可以用同一个魔法动作创造两个（但并不使用同一法术位），随后你可以以同一个附赠动作激活它们，命令它们使用同一种激活选项，或不同的选项。你拥有两台炮台期间，不能创造第三门炮台。
闪烁场投影Shimmering Field Projection。你和你的盟友在你的奥法炮台10尺内期间具有半身掩护。</t>
    <phoneticPr fontId="86" type="noConversion"/>
  </si>
  <si>
    <t>战斗准备</t>
  </si>
  <si>
    <t>钢铁守卫</t>
  </si>
  <si>
    <t>奥能震荡</t>
  </si>
  <si>
    <t>改良守卫</t>
  </si>
  <si>
    <t>你获得铁匠工具的熟练。如果你已经拥有对应熟练，则你获得另一种你选择的工匠工具的熟练。
另外，当你使用《城主指南》的制造规则制造一把普通或魔法武器时，制造所需花费的时间减半。</t>
    <phoneticPr fontId="86" type="noConversion"/>
  </si>
  <si>
    <t xml:space="preserve">在达到下方战地匠师法术列表中列出特定奇械师等级时，你将始终准备了等级对应的法术。 
战地匠师法术
奇械师等级 法术 
3 英雄气概heroism，护盾术shield  
5 闪耀斩Shining smite，守护之链warding bond  
9 活力灵光aura of vitality，箭如雨下conjure barrage  
13 净化灵光aura of purity，火焰护盾fire shield  
17 放逐斩banishing smite，群体疗伤术mass cure wounds  </t>
    <phoneticPr fontId="86" type="noConversion"/>
  </si>
  <si>
    <t>你的战斗训练和魔法实验为你带来了两种好处：
奥法增强Arcane Empowerment。当你以魔法武器攻击时，你可以在攻击检定与伤害掷骰中使用智力调整值，以代替力量或敏捷。
武器学识Weapon Knowledge。你获得军用武器的熟练。</t>
    <phoneticPr fontId="86" type="noConversion"/>
  </si>
  <si>
    <t xml:space="preserve">你的工匠技艺为你诞生出了一名同伴，一个钢铁守卫（见数据框）。你决定守卫的外观以及两足还是四足；你的决定对它的游戏数据没有影响。
钢铁守卫对你和你的盟友友好，并服从你的命令。它会在你死去后消失。
战斗中的守卫The Defender in Combat。在战斗中，守卫会在你的回合行动。它可以自行移动和采取反应，但除非你执行一个附赠动作命令它执行动作，否则它只会执行回避动作。如果你陷入失能状态，守卫会自行行动，而不仅限于回避动作。
恢复与替换守卫Restoring or Replacing the Defender。如果守卫在最近1小时内死亡，你可以以一个魔法动作触碰它，并消耗一个法术位。守卫会在1分钟后复活，复活时回满生命值。
每当你完成一次长休，若你持握着铁匠工具，你可以创造一个新的钢铁守卫。如果你已经以此特性拥有一台守卫，最先的那一个会消失。
钢铁守卫Steel Defender
中型构装
AC 15 先攻 +0（10） 
HP 5+五倍你的奇械师等级（守卫具有等同于你奇械师等级的生命骰[d8]） 
速度 40尺 
  调整 豁免    调整 豁免    调整 豁免 
力量 14 +2 +2  敏捷 12 +1 +1  体质 14  +2  +2 
智力 4 -3 -3  感知 10 +0 +0  魅力 6  -2  -2 
免疫 毒素；魅惑，力竭，中毒 
感官 黑暗视觉60尺，被动察觉10 
语言 理解你说的语言 
CR 无（XP0；PB等于你的熟练加值） 
特质Traits
钢铁连结Steel Bond。将你的熟练加值加入守卫进行的任何属性检定与豁免检定。 
动作Actions
力场动能撕扯Force-Empowered Rend。 近战攻击：加值等同于你的法术攻击加值，触及5尺。命中：1d8+2外加你的智力调整值点力场伤害。
修理Repair（3/天）。守卫或5尺内其可见的一名构装或一个物件恢复等于2d8加你的智力调整值的生命值。 
反应Reactions
偏转攻击Deflect Attack。 触发：防御者5尺内的一名其可见生物对另一名生物进行攻击。响应：触发的生物进行的攻击具有劣势。 </t>
    <phoneticPr fontId="86" type="noConversion"/>
  </si>
  <si>
    <t>当你使用魔法武器在一次攻击检定中命中一个目标，或钢铁守卫命中一个目标时，你可以将奥术能量引导至这次打击中，以创造以下的效应：
毁灭能量Destructive Energy。目标受到额外的2d6力场伤害。
复苏能量Restorative Energy。选择距离目标30尺以内的一个你可见的生物或物体。治愈能量涌进选择的对象，为其恢复2d6生命值。
你可以引导能量的次数等同于你的智力调整值（最少为1次），但一回合只能这么做不超过一次。当你完成长休时，你恢复所有已消耗的次数。</t>
    <phoneticPr fontId="86" type="noConversion"/>
  </si>
  <si>
    <t>你的奥能震荡和钢铁守卫变得更加强力，使你获得以下增益：
强化激荡Improved Jolt。你的奥能震荡的额外伤害和生命恢复提升为4d6
强韧守卫Fortified Defender。你的钢铁守卫的护甲等级获得+2加值。
强化偏转Improved Deflection。每当你的钢铁守卫使用它的偏转攻击时，攻击者受到1d4外加你的智力调整值点力场伤害。</t>
    <phoneticPr fontId="86" type="noConversion"/>
  </si>
  <si>
    <t>冒险者的地图匣</t>
  </si>
  <si>
    <t>探查部件</t>
  </si>
  <si>
    <t>传送门跃</t>
  </si>
  <si>
    <t>灵机一动</t>
  </si>
  <si>
    <t>万能地图匣</t>
  </si>
  <si>
    <t>你获得书法工具与制图工具的熟练。如果你已有这两者中任一的熟练，你都可以将其改为获得另一种你所选的工匠工具熟练。 
此外，当你使用《玩家手册》中的制作规则来撰写法术卷轴Spell Scroll 时，你制造所需的时间减半。</t>
    <phoneticPr fontId="86" type="noConversion"/>
  </si>
  <si>
    <t xml:space="preserve">当你到达制图师法术表中特定的奇械师等级时，你就始终准备了表中对应的法术。
制图师法术
奇械师等级 法术 
3 妖火Faerie Fire，光导箭Guiding Bolt，治愈真言Healing Word  
5 物件定位术Locate Object，心灵尖刺Mind Spike  
9 鹰眼术Clairvoyance，加速术Haste 
13 行动自如Freedom of Movement，生物定位术Locate Creature  
17 探知术Scrying，传送法阵Teleportation Circle  </t>
    <phoneticPr fontId="86" type="noConversion"/>
  </si>
  <si>
    <t>制图师法术</t>
    <phoneticPr fontId="86" type="noConversion"/>
  </si>
  <si>
    <t>制图师工具熟练</t>
    <phoneticPr fontId="86" type="noConversion"/>
  </si>
  <si>
    <t>战地匠师法术</t>
    <phoneticPr fontId="86" type="noConversion"/>
  </si>
  <si>
    <t>战地匠师工具熟练</t>
    <phoneticPr fontId="86" type="noConversion"/>
  </si>
  <si>
    <t>魔炮师法术</t>
    <phoneticPr fontId="86" type="noConversion"/>
  </si>
  <si>
    <t>魔炮师工具熟练</t>
    <phoneticPr fontId="86" type="noConversion"/>
  </si>
  <si>
    <t>装甲师法术</t>
    <phoneticPr fontId="86" type="noConversion"/>
  </si>
  <si>
    <t>装甲师工具熟练</t>
    <phoneticPr fontId="86" type="noConversion"/>
  </si>
  <si>
    <t>炼金师法术</t>
    <phoneticPr fontId="86" type="noConversion"/>
  </si>
  <si>
    <t>炼金师工具熟练</t>
    <phoneticPr fontId="86" type="noConversion"/>
  </si>
  <si>
    <t>每当你持握着制图工具完成一次长休时，你可以触碰至少两名、至多1+你智力调整值名生物（其中一个可以是你自己），用该工具创造一套魔法地图。每个所选生物都会获得一份魔法地图——这些地图对于其他人而言是无法阅读的。地图会一直存在，直到你死亡或你再度使用这一特性为止，届时，你以此特性创造的还存在着的所有地图都会立刻消失。 
携带魔法地图期间，所选目标获得以下增益：
警觉Awareness。 目标进行先攻检定具有1d4加值。
定位Positioning。 目标知晓其他所有地图持有者所在的位置，不过前提是对方与自己身处同一存在位面内。当需要基于“可见目标”施展一道法术或创造某个效应时，持有地图者可以无视其视觉要求，选择另一个地图持有者为目标。不过选取目标时仍然必须满足法术与效应的距离限制。</t>
    <phoneticPr fontId="86" type="noConversion"/>
  </si>
  <si>
    <t>你获得以下增益：
强冲Boost。 在你的回合中，你可以消耗你一半的移动力来传送到你10尺内可见的一处未占据空间中。如果你的速度为零，你无法使用这一增益。
雷达Radar。 你可以无需法术位地施展妖火Faerie Fire 若干次。此增益可用次数等同于你的智力调整值次（至少一次），当你完成长休时你重获全部已消耗的使用次数。</t>
    <phoneticPr fontId="86" type="noConversion"/>
  </si>
  <si>
    <t>以一个附赠动作，你可以传送至多60尺至一处你可见的未占据空间中。 
你可以使用此特性的次数等同于你的智力调整值次（至少一次），当你完成长休时你重获全部已消耗的使用次数。 
作为另一种此能力的用法，当你传送目的地位于一个持有你冒险者的地图匣特性创造的地图的生物周围5尺内的一处空间时，你可以不消耗使用次数。不过传送后，该生物持有的地图会被摧毁。</t>
    <phoneticPr fontId="86" type="noConversion"/>
  </si>
  <si>
    <t>当你使用灵光一闪特性时，作为该次反应的一部分，你或由你选择的30尺内的一名自愿生物可以传送至多30尺至一处你可见的未占据空间中。</t>
  </si>
  <si>
    <t>你的冒险者的地图匣特性强化了，你获得以下增益：
安全归处Safe Haven。 当地图持有者的生命值被降至0（但没被立刻杀死）时，该生物可以摧毁它的地图，然后传送至你或另一个地图持有者周围5尺内的一处未占据空间中，并变为伤势稳定。
径路悉晓Unerring Path。如果你自己也是冒险者的地图匣特性中的地图持有者之一，你可以无需法术位、无需准备、无需法术成分地施展寻路术Find the Path 。此特性一经使用，在你完成长休前都无法再次使用。
坚定意志Unshakeable Mind。 只要这还存在着至少一张由你的冒险者的地图匣特性创造的地图，你对奇械师法术的专注不会因受到伤害而终止。</t>
    <phoneticPr fontId="86" type="noConversion"/>
  </si>
  <si>
    <t>人工生命仆从</t>
    <phoneticPr fontId="86" type="noConversion"/>
  </si>
  <si>
    <t>√</t>
    <phoneticPr fontId="86" type="noConversion"/>
  </si>
  <si>
    <t>1小时或仪式</t>
    <phoneticPr fontId="86" type="noConversion"/>
  </si>
  <si>
    <t>10尺</t>
    <phoneticPr fontId="86" type="noConversion"/>
  </si>
  <si>
    <t>V</t>
    <phoneticPr fontId="86" type="noConversion"/>
  </si>
  <si>
    <t>价值100+GP的宝石或水晶，作为该法术的耗材</t>
    <phoneticPr fontId="86" type="noConversion"/>
  </si>
  <si>
    <t>你在施法距离内一处未被占据的空间里召唤出一个特别的人工生命体。该生物使用人工生命仆从Homunculus Servant的数据。如果你已经从这个法术拥有了一个人工生命体，该人工生命体将会被新的取代。
你决定人工生命体的外观，比如一只机械鸟；带翅膀的小瓶子，或微型的活化坩埚。
战斗Combat。 人工生命体对你和你的盟友来说是一位盟友。在战斗中，它使用你的先攻值，在你的回合结束后立即执行它的回合。它服从于你的命令（无需消耗你的动作）。如果你未发配命令，它回采取回避动作，并使用移动力避免危险。
升环施法。 在其数据中使用更高的法术环阶。
人工生命仆从 Homunculus Servant
微型构装，中立
AC 13 
HP 5+5每法术环阶（仆从具有等同于法术环阶的生命骰[d4]） 
速度 20尺，飞行30尺 
  调整 豁免    调整 豁免    调整 豁免 
力量 4 -3 -3  敏捷 15 +2 +2  体质 12 +1 +1 
智力 +0 +0 +0  感知 10 +0 +0  魅力 7 -1 -1 
免疫 毒素；力竭，中毒 
感官 黑暗视觉60尺，被动察觉10 
语言 心灵感应1里（只与你起效） 
CR 无（XP 0；PB等于你的熟练加值） 
特质Traits
反射闪避Evasion。当人工生命体受到一个允许你进行敏捷豁免来只承受一半伤害的效应影响时，其豁免成功时不受伤害，豁免失败时只承受一半伤害。其无法在失能期间使用此特性。 
魔法连结Magic Bond。 将你的熟练加值加入人工生命体进行的任何属性检定与豁免检定。
动作Actions
力场打击Force Strike。 近战或远程攻击检定：加值等于你的法术攻击加值，触及5尺或射程30尺。命中：1d6加法术环阶的力场伤害。
反应Reactions
传递法术Channel Magic。 触发：人工生命体位于你120尺内期间，你施展了一个施法距离为触碰的法术。 响应： 人工生命体通过其触碰传递法术。</t>
    <phoneticPr fontId="86" type="noConversion"/>
  </si>
  <si>
    <t>Homunculus Servant</t>
    <phoneticPr fontId="86" type="noConversion"/>
  </si>
  <si>
    <r>
      <t>5E2024</t>
    </r>
    <r>
      <rPr>
        <sz val="11"/>
        <color theme="1"/>
        <rFont val="宋体"/>
        <family val="3"/>
        <charset val="134"/>
      </rPr>
      <t>更新：</t>
    </r>
    <r>
      <rPr>
        <sz val="11"/>
        <color theme="1"/>
        <rFont val="Times New Roman"/>
        <family val="1"/>
      </rPr>
      <t xml:space="preserve">
</t>
    </r>
    <r>
      <rPr>
        <sz val="11"/>
        <color theme="1"/>
        <rFont val="宋体"/>
        <family val="3"/>
        <charset val="134"/>
      </rPr>
      <t>收录内容更改为</t>
    </r>
    <r>
      <rPr>
        <sz val="11"/>
        <color theme="1"/>
        <rFont val="Times New Roman"/>
        <family val="1"/>
      </rPr>
      <t>5E2024</t>
    </r>
    <r>
      <rPr>
        <sz val="11"/>
        <color theme="1"/>
        <rFont val="宋体"/>
        <family val="3"/>
        <charset val="134"/>
      </rPr>
      <t>（目前仅</t>
    </r>
    <r>
      <rPr>
        <sz val="11"/>
        <color theme="1"/>
        <rFont val="Times New Roman"/>
        <family val="1"/>
      </rPr>
      <t>PHB</t>
    </r>
    <r>
      <rPr>
        <sz val="11"/>
        <color theme="1"/>
        <rFont val="宋体"/>
        <family val="3"/>
        <charset val="134"/>
      </rPr>
      <t>内容）</t>
    </r>
    <r>
      <rPr>
        <sz val="11"/>
        <color theme="1"/>
        <rFont val="Times New Roman"/>
        <family val="1"/>
      </rPr>
      <t xml:space="preserve">
</t>
    </r>
    <r>
      <rPr>
        <sz val="11"/>
        <color theme="1"/>
        <rFont val="宋体"/>
        <family val="3"/>
        <charset val="134"/>
      </rPr>
      <t>特性等级自动显示，仅显示已达到等级的特性，已选择的特性不会出现于下拉栏中，法术位自动计算，增加法术值显示，主页面增加法术简易速查</t>
    </r>
    <r>
      <rPr>
        <sz val="11"/>
        <color theme="1"/>
        <rFont val="Times New Roman"/>
        <family val="1"/>
      </rPr>
      <t xml:space="preserve">
</t>
    </r>
    <r>
      <rPr>
        <sz val="11"/>
        <color theme="1"/>
        <rFont val="宋体"/>
        <family val="3"/>
        <charset val="134"/>
      </rPr>
      <t>新增据点页面（据点回合后续再补）</t>
    </r>
    <r>
      <rPr>
        <sz val="11"/>
        <color theme="1"/>
        <rFont val="Times New Roman"/>
        <family val="1"/>
      </rPr>
      <t xml:space="preserve">
</t>
    </r>
    <r>
      <rPr>
        <sz val="11"/>
        <color theme="1"/>
        <rFont val="宋体"/>
        <family val="3"/>
        <charset val="134"/>
      </rPr>
      <t>背包页增加工具操作、制造的查询</t>
    </r>
    <r>
      <rPr>
        <sz val="11"/>
        <color theme="1"/>
        <rFont val="Times New Roman"/>
        <family val="1"/>
      </rPr>
      <t xml:space="preserve">
</t>
    </r>
    <r>
      <rPr>
        <sz val="11"/>
        <color theme="1"/>
        <rFont val="宋体"/>
        <family val="3"/>
        <charset val="134"/>
      </rPr>
      <t>新增盟友页面，魔宠数据移至此页面</t>
    </r>
    <r>
      <rPr>
        <sz val="11"/>
        <color theme="1"/>
        <rFont val="Times New Roman"/>
        <family val="1"/>
      </rPr>
      <t xml:space="preserve">
0.2.5</t>
    </r>
    <r>
      <rPr>
        <sz val="11"/>
        <color theme="1"/>
        <rFont val="宋体"/>
        <family val="3"/>
        <charset val="134"/>
      </rPr>
      <t>：</t>
    </r>
    <r>
      <rPr>
        <sz val="11"/>
        <color theme="1"/>
        <rFont val="Times New Roman"/>
        <family val="1"/>
      </rPr>
      <t xml:space="preserve">
</t>
    </r>
    <r>
      <rPr>
        <sz val="11"/>
        <color theme="1"/>
        <rFont val="宋体"/>
        <family val="3"/>
        <charset val="134"/>
      </rPr>
      <t>重新加入无消耗法术以便于区分</t>
    </r>
    <r>
      <rPr>
        <sz val="11"/>
        <color theme="1"/>
        <rFont val="Times New Roman"/>
        <family val="1"/>
      </rPr>
      <t xml:space="preserve">
bug</t>
    </r>
    <r>
      <rPr>
        <sz val="11"/>
        <color theme="1"/>
        <rFont val="宋体"/>
        <family val="3"/>
        <charset val="134"/>
      </rPr>
      <t>修复</t>
    </r>
    <r>
      <rPr>
        <sz val="11"/>
        <color theme="1"/>
        <rFont val="Times New Roman"/>
        <family val="1"/>
      </rPr>
      <t xml:space="preserve">
</t>
    </r>
    <r>
      <rPr>
        <sz val="11"/>
        <color theme="1"/>
        <rFont val="宋体"/>
        <family val="3"/>
        <charset val="134"/>
      </rPr>
      <t>是否具有万事通单独列出，不必一个个技能选择过去</t>
    </r>
    <r>
      <rPr>
        <sz val="11"/>
        <color theme="1"/>
        <rFont val="Times New Roman"/>
        <family val="1"/>
      </rPr>
      <t xml:space="preserve">
</t>
    </r>
    <r>
      <rPr>
        <sz val="11"/>
        <color theme="1"/>
        <rFont val="宋体"/>
        <family val="3"/>
        <charset val="134"/>
      </rPr>
      <t xml:space="preserve">各个界面增加主题颜色
</t>
    </r>
    <r>
      <rPr>
        <sz val="11"/>
        <color theme="1"/>
        <rFont val="Times New Roman"/>
        <family val="1"/>
      </rPr>
      <t>0.2.6</t>
    </r>
    <r>
      <rPr>
        <sz val="11"/>
        <color theme="1"/>
        <rFont val="宋体"/>
        <family val="3"/>
        <charset val="134"/>
      </rPr>
      <t>：扩展法术补完</t>
    </r>
    <r>
      <rPr>
        <sz val="11"/>
        <color theme="1"/>
        <rFont val="Times New Roman"/>
        <family val="1"/>
      </rPr>
      <t xml:space="preserve">
0.2.7</t>
    </r>
    <r>
      <rPr>
        <sz val="11"/>
        <color theme="1"/>
        <rFont val="宋体"/>
        <family val="3"/>
        <charset val="134"/>
      </rPr>
      <t>：职业特性栏位增加，主页面布局更改（有一处空白不知道该放什么，于是塞了张</t>
    </r>
    <r>
      <rPr>
        <sz val="11"/>
        <color theme="1"/>
        <rFont val="Times New Roman"/>
        <family val="1"/>
      </rPr>
      <t>Mortis</t>
    </r>
    <r>
      <rPr>
        <sz val="11"/>
        <color theme="1"/>
        <rFont val="宋体"/>
        <family val="3"/>
        <charset val="134"/>
      </rPr>
      <t xml:space="preserve">）
</t>
    </r>
    <r>
      <rPr>
        <sz val="11"/>
        <color theme="1"/>
        <rFont val="Times New Roman"/>
        <family val="1"/>
      </rPr>
      <t>0.2.8</t>
    </r>
    <r>
      <rPr>
        <sz val="11"/>
        <color theme="1"/>
        <rFont val="宋体"/>
        <family val="3"/>
        <charset val="134"/>
      </rPr>
      <t>：骰娘导入修复，种族重新移回主要界面，攻击属性等选择栏移回对应小标题处</t>
    </r>
    <r>
      <rPr>
        <sz val="11"/>
        <color theme="1"/>
        <rFont val="Times New Roman"/>
        <family val="1"/>
      </rPr>
      <t xml:space="preserve">
0.2.9</t>
    </r>
    <r>
      <rPr>
        <sz val="11"/>
        <color theme="1"/>
        <rFont val="宋体"/>
        <family val="1"/>
        <charset val="134"/>
      </rPr>
      <t>：
主页面的法术的仪式施法与专注的变色效果修复
以上由</t>
    </r>
    <r>
      <rPr>
        <b/>
        <sz val="11"/>
        <color theme="1"/>
        <rFont val="Times New Roman"/>
        <family val="1"/>
      </rPr>
      <t>MadMax</t>
    </r>
    <r>
      <rPr>
        <sz val="11"/>
        <color theme="1"/>
        <rFont val="宋体"/>
        <family val="1"/>
        <charset val="134"/>
      </rPr>
      <t xml:space="preserve">完成
</t>
    </r>
    <r>
      <rPr>
        <sz val="11"/>
        <color theme="1"/>
        <rFont val="Times New Roman"/>
        <family val="1"/>
      </rPr>
      <t>PHB</t>
    </r>
    <r>
      <rPr>
        <sz val="11"/>
        <color theme="1"/>
        <rFont val="宋体"/>
        <family val="1"/>
        <charset val="134"/>
      </rPr>
      <t xml:space="preserve">法术校对完成
</t>
    </r>
    <r>
      <rPr>
        <sz val="11"/>
        <color theme="1"/>
        <rFont val="Times New Roman"/>
        <family val="1"/>
      </rPr>
      <t>1.</t>
    </r>
    <r>
      <rPr>
        <sz val="11"/>
        <color theme="1"/>
        <rFont val="宋体"/>
        <family val="1"/>
        <charset val="134"/>
      </rPr>
      <t xml:space="preserve">诸如光亮术、护盾术、庇护术、炽焰斩、异界誓盟等法术的职业分类错误
</t>
    </r>
    <r>
      <rPr>
        <sz val="11"/>
        <color theme="1"/>
        <rFont val="Times New Roman"/>
        <family val="1"/>
      </rPr>
      <t>2.</t>
    </r>
    <r>
      <rPr>
        <sz val="11"/>
        <color theme="1"/>
        <rFont val="宋体"/>
        <family val="1"/>
        <charset val="134"/>
      </rPr>
      <t>死亡法阵的法术遗漏
以上由</t>
    </r>
    <r>
      <rPr>
        <b/>
        <sz val="11"/>
        <color theme="1"/>
        <rFont val="宋体"/>
        <family val="3"/>
        <charset val="134"/>
      </rPr>
      <t>小小苏</t>
    </r>
    <r>
      <rPr>
        <sz val="11"/>
        <color theme="1"/>
        <rFont val="宋体"/>
        <family val="1"/>
        <charset val="134"/>
      </rPr>
      <t>完成</t>
    </r>
    <r>
      <rPr>
        <sz val="11"/>
        <color theme="1"/>
        <rFont val="Times New Roman"/>
        <family val="1"/>
      </rPr>
      <t xml:space="preserve">
</t>
    </r>
    <r>
      <rPr>
        <sz val="11"/>
        <color theme="1"/>
        <rFont val="宋体"/>
        <family val="1"/>
        <charset val="134"/>
      </rPr>
      <t>0.3.0：
主页面武器部分显示优化（Mortis没了#悲）
背包页面增加一键填入套组宏
以上由MadMax完成
额外法术界面更名为自定义调整栏，新增自定义武器功能，背景界面布局小改
以上由悲灵完成</t>
    </r>
    <phoneticPr fontId="86" type="noConversion"/>
  </si>
  <si>
    <t>异种龙纹</t>
    <phoneticPr fontId="86" type="noConversion"/>
  </si>
  <si>
    <t>龙纹专长（先决：艾伯伦战役，不具有其他龙纹专长）
你获得以下增益：
异种坚韧Aberrant Fortitude。当你进行体质豁免时，你可以投掷1d4并将骰值加入豁免中。你可以使用此增益的次数等于你的熟练加值，当你完成长休时，重获所有已消耗的使用次数。
异种魔法Aberrant Magic。你已知一道你选择的术士戏法。此外，选择一道来自术士法术列表的一环法术，你始终准备着这道法术。你可以无需法术位地施展该法术一次，当你完成长休或短休时，你重获以此法施展该法术的能力。你也能够以你拥有的任意法术位施展该法术。你的该法术的施法属性是体质。
异种浪涌Aberrant Surge。当你施展本专长给予的一环法术时，你可以消耗一枚你的生命骰并投掷它。若结果为偶数，你获得等于骰值的临时生命值。若结果为奇数，位于你30尺内的一名生物（不包括你）受到等于骰值的力场伤害。若范围内没有其他生物，此伤害由你承受。</t>
    <phoneticPr fontId="86" type="noConversion"/>
  </si>
  <si>
    <t>侦测之纹</t>
    <phoneticPr fontId="86" type="noConversion"/>
  </si>
  <si>
    <t xml:space="preserve">龙纹专长（先决：艾伯伦战役，不具有其他龙纹专长） 
你获得以下增益：
推理直觉Deductive Intuition。当你进行感知（洞悉或察觉）检定时，你可以投掷1d4并将骰值加入属性检定中。
魔法侦测Magical Detection。你始终准备着法术侦测魔法Detect Magic和侦测毒性和疾病Detect Poison and Disease 。你可以无需法术位地施展每道法术各一次，当你完成长休时，你重获以此法施展这些法术的能力。你也能够以你拥有的任意法术位*施展这些法术。你的这些法术的施法属性是感知、智力或魅力（在你选择该专长时选择）。当你角色等级到达3级时，你始终准备着法术识破隐形See Invisibility，并可用相同方式施展该法术。
译注：是的，理论上你可以用一环法术位放二环
纹中之法Spells of the Mark。若你具有施法或契约魔法特性，侦测之纹法术表中的法术将加入那个特性的法术列表中。
侦测之纹法术Mark of Detection Spells 法术环阶 法术 
一环 侦测善恶Detect Evil and Good，鉴定术Identify 
二环 侦测思想Detect Thoughts，寻找陷阱Find Traps 
三环 鹰眼术Clairvoyance ，回避侦测Nondetection 
四环 秘法眼Arcane Eye，预言术Divination 
五环 通晓传奇Legend Lore </t>
    <phoneticPr fontId="86" type="noConversion"/>
  </si>
  <si>
    <t>探索之纹</t>
    <phoneticPr fontId="86" type="noConversion"/>
  </si>
  <si>
    <t xml:space="preserve">龙纹专长（先决：艾伯伦战役，不具有其他龙纹专长） 
你获得以下增益： 
猎者直觉Hunter’s Intuition。当你进行感知（察觉或求生）检定时，你可以投掷1d4并将骰值加入属性检定中。
探索者魔法Finder’s Magic。你始终准备着法术猎人印记Hunter’s Mark 。你可以无需法术位地施展该法术一次，当你完成长休时，你重获以此法施展该法术的能力。你也能够以你拥有的任意法术位施展该法术。你的这些法术的施法属性是感知、智力或魅力（在你选择该专长时选择）。当你角色等级到达3级时，你始终准备着法术物件定位术Locate Object，并可用相同方式施展该法术。
纹中之法Spells of the Mark。若你具有施法或契约魔法特性，探索之纹法术表中的法术将加入那个特性的法术列表中。 
探索之纹法术Mark of Finding Spells 法术环阶 法术 
一环 妖火Faerie Fire，大步奔行Longstrider 
二环 动植物定位术Locate Animals or Plants，心灵尖刺Mind Spike 
三环 鹰眼术Clairvoyance，植物交谈Speak with Plants 
四环 预言术Divination，生物定位术Locate Creature 
五环 问道自然Commune with Nature </t>
    <phoneticPr fontId="86" type="noConversion"/>
  </si>
  <si>
    <t>畜牧之纹</t>
    <phoneticPr fontId="86" type="noConversion"/>
  </si>
  <si>
    <t xml:space="preserve">龙纹专长（先决：艾伯伦战役，不具有其他龙纹专长） 
你获得以下增益： 
野性直觉Wild Intuition。当你进行智力（自然）或感知（驯兽）检定时，你可以投掷1d4并将骰值加入属性检定中。 
原初联结Primal Connection。你始终准备着法术化兽为友Animal Friendship和动物交谈Speak with Animals。你可以无需法术位地施展每道法术各一次，当你完成长休时，你重获以此法施展这些法术的能力。你也能够以你拥有的任意法术位施展这些法术。
你的这些法术的施法属性是感知、智力或魅力（在你选择该专长时选择）。 
大点而已The Bigger They Are。当你角色等级到达3级时，你施展法术化兽为友Animal Friendship和动物交谈Speak with Animals时，能够以智力不大于3的怪兽为目标。 
纹中之法Spells of the Mark。若你具有施法或契约魔法特性，畜牧之纹法术表中的法术将加入那个特性的法术列表中。
畜牧之纹法术Mark of Handling Spells 法术环阶 法术 
一环 命令术Command，寻获魔宠Find Familiar 
二环 野兽感官Beast Sense，安定心神Calm Emotions 
三环 希望信标Beacon of Hope，咒唤兽群Conjure Animals 
四环 生命灵光Aura of Life，支配野兽Dominate Beast 
五环 启蒙术Awaken </t>
    <phoneticPr fontId="86" type="noConversion"/>
  </si>
  <si>
    <t>医疗之纹</t>
    <phoneticPr fontId="86" type="noConversion"/>
  </si>
  <si>
    <t xml:space="preserve">龙纹专长（先决：艾伯伦战役，不具有其他龙纹专长） 
你获得以下增益： 
医学直觉Medical Intuition。当你进行智力（草药工具）或感知（医药）检定时，你可以投掷1d4并将骰值加入属性检定中。
治愈之触Healing Touch。你始终准备着法术疗伤术Cure Wounds。你可以无需法术位地施展该法术一次，当你完成长休时，你重获以此法施展该法术的能力。你也能够以你拥有的任意法术位施展该法术。你的这些法术的施法属性是感知、智力或魅力（在你选择该专长时选择）。当你角色等级到达3级时，你始终准备着法术次等复原术Lesser Restoration，并可用相同方式施展该法术。
纹中之法Spells of the Mark。若你具有施法或契约魔法特性，医疗之纹法术表中的法术将加入那个特性的法术列表中。 
医疗之纹法术Mark of Healing Spells 法术环阶 法术 
一环 虚假生命False Life，治愈真言Healing Word 
二环 复苏秘法Arcane Vigor，治疗祷言Prayer of Healing 
三环 活力灵光Aura of Vitality，群体治愈真言Mass Healing Word 
四环 生命灵光Aura of Life，净化灵光Aura of Purity 
五环 高等复原术Greater Restoration </t>
    <phoneticPr fontId="86" type="noConversion"/>
  </si>
  <si>
    <t>招待之纹</t>
    <phoneticPr fontId="86" type="noConversion"/>
  </si>
  <si>
    <t xml:space="preserve">龙纹专长（先决：艾伯伦战役，不具有其他龙纹专长） 
你获得以下增益： 
永恒款待Ever Hospitable。当你进行魅力（游说）检定或任意使用酿酒工具或厨师工具的属性检定时，你可以投掷1d4并将骰值加入属性检定中。
掌柜魔法Innkeeper’s Magic。你知晓戏法魔法伎俩Prestidigitation。你始终准备着法术净化饮食Purify Food and Drink和隐形仆役Unseen Servant。你可以无需法术位地施展每道法术各一次，当你完成长休时，你重获以此法施展这些法术的能力。你也能够以你拥有的任意法术位施展这些法术。你的这些法术的施法属性是感知、智力或魅力（在你选择该专长时选择）。
纹中之法Spells of the Mark。若你具有施法或契约魔法特性，招待之纹法术表中的法术将加入那个特性的法术列表中。 
招待之纹法术Mark of Hospitality Spells 法术环阶 法术 
一环 神莓术Goodberry，睡眠术Sleep 
二环 援助术Aid，安定心神Calm Emotions 
三环 造粮术Create Food and Water，李欧蒙小屋Leomund’s Tiny Hut 
四环 净化灵光Aura of Purity，魔邓肯的私人密室Mordenkainen’s Private Sanctum 
五环 圣居术Hallow </t>
    <phoneticPr fontId="86" type="noConversion"/>
  </si>
  <si>
    <t>创造之纹</t>
    <phoneticPr fontId="86" type="noConversion"/>
  </si>
  <si>
    <t xml:space="preserve">龙纹专长（先决：艾伯伦战役，不具有其他龙纹专长） 
你获得以下增益： 
工匠直觉Artisan’s Intuition。当你进行智力（奥秘）检定或任意使用工匠工具的属性检定时，你可以投掷1d4并将骰值加入属性检定中。
法术匠人Spellsmith。你知晓戏法修复术Mending。你始终准备着法术魔化武器Magic Weapon。你可以无需法术位地施展该法术一次，当你完成长休时，你重获以此法施展该法术的能力。你也能够以你拥有的任意法术位施展该法术。你的这些法术的施法属性是感知、智力或魅力（在你选择该专长时选择）。
纹中之法Spells of the Mark。若你具有施法或契约魔法特性，创造之纹法术表中的法术将加入那个特性的法术列表中。 
创造之纹法术Mark of Making Spells 法术环阶 法术 
一环 鉴定术Identify，谭森浮碟术Tenser’s Floating Disk 
二环 不灭明焰Continual Flame，灵体武器Spiritual Weapon 
三环 箭如雨下Conjure Barrage，元素武器Elemental Weapon 
四环 鬼斧神工Fabricate，塑石术Stone Shape 
五环 造物术Creation </t>
    <phoneticPr fontId="86" type="noConversion"/>
  </si>
  <si>
    <t>通行之纹</t>
    <phoneticPr fontId="86" type="noConversion"/>
  </si>
  <si>
    <t xml:space="preserve">龙纹专长（先决：艾伯伦战役，不具有其他龙纹专长） 
你获得以下增益： 
信使极速Courier’s Speed。你的速度提升5尺。
直觉行动Intuitive Motion。当你进行力量（运动）或敏捷（特技）检定时，你可以投掷1d4并将骰值加入属性检定中。
魔法通行Magical Passage。你始终准备着法术迷踪步Misty Step。你可以无需法术位地施展该法术一次，当你完成长休时，你重获以此法施展该法术的能力。你也能够以你拥有的任意法术位施展该法术。你的这些法术的施法属性是感知、智力或魅力（在你选择该专长时选择）。
纹中之法Spells of the Mark。若你具有施法或契约魔法特性，通行之纹法术表中的法术将加入那个特性的法术列表中。 
通行之纹法术Mark of Passage Spells 法术环阶 法术 
一环 脚底抹油Expeditious Retreat，跳跃术Jump 
二环 行动无踪Pass without Trace，寻获坐骑Find Steed 
三环 闪现术Blink，魅影驹Phantom Steed 
四环 任意门Dimension Door，行动自如Freedom of Movement 
五环 传送法阵Teleportation Circle </t>
    <phoneticPr fontId="86" type="noConversion"/>
  </si>
  <si>
    <t>抄录之纹</t>
    <phoneticPr fontId="86" type="noConversion"/>
  </si>
  <si>
    <t xml:space="preserve">龙纹专长（先决：艾伯伦战役，不具有其他龙纹专长） 
你获得以下增益： 
天才文员Gifted Scribe。当你进行智力（历史）检定或任意使用书法工具的属性检定时，你可以投掷1d4并将骰值加入属性检定中。 
文员洞见be’s Insight。你知晓戏法传讯术Message。你始终准备着法术通晓语言Comprehend Languages 。你可以无需法术位地施展该法术一次，当你完成长休时，你重获以此法施展该法术的能力。你也能够以你拥有的任意法术位施展该法术。你的这些法术的施法属性是感知、智力或魅力（在你选择该专长时选择）。当你角色等级到达3级时，你始终准备着法术魔嘴术Magic Mouth，并可用相同方式施展该法术。
纹中之法Spells of the Mark。若你具有施法或契约魔法特性，抄录之纹法术表中的法术将加入那个特性的法术列表中。 
抄录之纹法术Mark of Scribing Spells 法术环阶 法术 
一环 命令术Command，迷幻手稿Illusory Script 
二环 动物信使Animal Messenger，沉默术Silence 
三环 短讯术Sending，巧言术Tongues 
四环 秘法眼Arcane Eye，困惑术Confusion 
五环 托梦术Dream </t>
    <phoneticPr fontId="86" type="noConversion"/>
  </si>
  <si>
    <t>守护之纹</t>
    <phoneticPr fontId="86" type="noConversion"/>
  </si>
  <si>
    <t xml:space="preserve">龙纹专长（先决：艾伯伦战役，不具有其他龙纹专长） 
你获得以下增益： 
守卫直觉Sentinel’s Intuition。当你进行感知（洞悉或察觉）检定时，你可以投掷1d4并将骰值加入属性检定中。
卫护之盾Guardian’s Shield。你始终准备着法术护盾术Shield。你可以无需法术位地施展该法术一次，当你完成长休时，你重获以此法施展该法术的能力。你也能够以你拥有的任意法术位施展该法术。你的这些法术的施法属性是感知、智力或魅力（在你选择该专长时选择）。
警醒护卫Vigilant Guardian。当一名位于你5尺内你可见的生物被攻击检定命中时，你可以执行反应来与其交换位置，并代替其被那次攻击命中。此特性一经使用，直至完成长休你都无法再次使用。
纹中之法Spells of the Mark。若你具有施法或契约魔法特性，守护之纹法术表中的法术将加入那个特性的法术列表中。 
守护之纹法术Mark of Sentinel Spells 法术环阶 法术 
一环 强令对决Compelled Duel，虔诚护盾Shield of Faith 
二环 守护之链Warding Bond，诚实之域Zone of Truth 
三环 法术反制Counterspell，防护能量伤害Protection from Energy 
四环 防死结界Death Ward，信仰守卫Guardian of Faith 
五环 毕格比之手Bigby’s Hand </t>
    <phoneticPr fontId="86" type="noConversion"/>
  </si>
  <si>
    <t>阴影之纹</t>
    <phoneticPr fontId="86" type="noConversion"/>
  </si>
  <si>
    <t xml:space="preserve">龙纹专长（先决：艾伯伦战役，不具有其他龙纹专长） 
你获得以下增益： 
奸猾直觉Cunning Intuition。当你进行敏捷（隐匿）或魅力（表演）检定时，你可以投掷1d4并将骰值加入属性检定中。
阴影塑形Shape Shadows。你知晓戏法次级幻象Minor Illusion。你始终准备着法术隐形术Invisibility。你可以无需法术位地施展该法术一次，当你完成长休时，你重获以此法施展该法术的能力。你也能够以你拥有的任意法术位施展该法术。你的这些法术的施法属性是感知、智力或魅力（在你选择该专长时选择）。
纹中之法Spells of the Mark。若你具有施法或契约魔法特性，阴影之纹法术表中的法术将加入那个特性的法术列表中。 
阴影之纹法术Mark of Shadow Spells 法术环阶 法术 
一环 易容术Disguise Self，无声幻影Silent Image 
二环 黑暗术Darkness，行动无踪Pass without Trace 
三环 鹰眼术Clairvoyance，高等幻象Major Image 
四环 高等隐形术Greater Invisibility，幻景Hallucinatory Terrain 
五环 假象术Mislead </t>
    <phoneticPr fontId="86" type="noConversion"/>
  </si>
  <si>
    <t>风暴之纹</t>
    <phoneticPr fontId="86" type="noConversion"/>
  </si>
  <si>
    <t xml:space="preserve">龙纹专长（先决：艾伯伦战役，不具有其他龙纹专长） 
你获得以下增益： 
风骑直觉Windwright’s Intuition。当你进行敏捷（特技）检定或任意使用领航工具的属性检定时，你可以投掷1d4并将骰值加入属性检定中。
暴风恩惠Storm’s Boon。你具有对闪电伤害的抗性。
风暴魔法Storm Magic。你知晓戏法鸣雷破Thunderclap。当你角色等级到达3级时，你始终准备着法术造风术Gust of Wind。你可以无需法术位地施展该法术一次，当你完成长休时，你重获以此法施展该法术的能力。你也能够以你拥有的任意法术位施展该法术。你的这些法术的施法属性是感知、智力或魅力（在你选择该专长时选择）。
纹中之法Spells of the Mark。若你具有施法或契约魔法特性，风暴之纹法术表中的法术将加入那个特性的法术列表中。 
风暴之纹法术Mark of Storm Spells 法术环阶 法术 
一环 羽落术Feather Fall，云雾术Fog Cloud 
二环 浮空术Levitate，粉碎音波Shatter 
三环 雪雨暴Sleet Storm，风墙术Wind Wall 
四环 咒唤微元素群Conjure Minor Elemental，操控水体Control Water 
五环 咒唤元素Conjure Elemental </t>
    <phoneticPr fontId="86" type="noConversion"/>
  </si>
  <si>
    <t>警戒之纹</t>
    <phoneticPr fontId="86" type="noConversion"/>
  </si>
  <si>
    <t xml:space="preserve">龙纹专长（先决：艾伯伦战役，不具有其他龙纹专长） 
你获得以下增益： 
警狱直觉Warder’s Intuition。当你进行智力（调查）检定或任意使用盗贼工具的属性检定时，你可以投掷1d4并将骰值加入属性检定中。 
警卫封印Wards and Seals。你始终准备着法术警报术Alarm和法师护甲Mage Armor。你可以无需法术位地施展每道法术各一次，当你完成长休时，你重获以此法施展这些法术的能力。你也能够以你拥有的任意法术位施展这些法术。你的这些法术的施法属性是感知、智力或魅力（在你选择该专长时选择）。当你角色等级到达3级时，你始终准备着法术秘法锁Arcane Lock，并可用相同方式施展该法术。 
纹中之法Spells of the Mark。若你具有施法或契约魔法特性，警戒之纹法术表中的法术将加入那个特性的法术列表中。 
警戒之纹法术Mark of Warding Spells 法术环阶 法术 
一环 黯冰狱铠Armor of Agathys，庇护术Sanctuary 
二环 敲击术Knock，涅斯图魔法灵光Nystul’s Magic Aura 
三环 守卫刻纹Glyph of Warding，防护法阵Magic Circle 
四环 李欧蒙秘藏箱Leomund’s Secret Chest，魔邓肯忠犬Mordenkainen’s Faithful Hound 
五环 防活物护罩Antilife Shell </t>
    <phoneticPr fontId="86" type="noConversion"/>
  </si>
  <si>
    <t>高等异种纹</t>
  </si>
  <si>
    <t>高等侦测之纹</t>
  </si>
  <si>
    <t>高等探索之纹</t>
  </si>
  <si>
    <t>高等畜牧之纹</t>
  </si>
  <si>
    <t>高等医疗之纹</t>
  </si>
  <si>
    <t>高等招待之纹</t>
  </si>
  <si>
    <t>高等创造之纹</t>
  </si>
  <si>
    <t>高等通行之纹</t>
  </si>
  <si>
    <t>高等抄录之纹</t>
  </si>
  <si>
    <t>高等守卫之纹</t>
  </si>
  <si>
    <t>高等阴影之纹</t>
  </si>
  <si>
    <t>高等风暴之纹</t>
  </si>
  <si>
    <t>高等警戒之纹</t>
  </si>
  <si>
    <t>强效龙纹</t>
  </si>
  <si>
    <t xml:space="preserve">通用专长（先决：等级4+，异种龙纹专长） 
你获得以下增益： 
属性值提升Ability Score Increase。你的体质属性提升1，至多提升至20。 
直觉锐化Improved Intuition。当你使用你异种龙纹的异种坚韧增益时，可以不再投掷1d4，改为投掷1d6。 
灵感之纹Mark of Inspiration。 当你施展一道戏法时，你可以消耗一枚生命骰并投掷它。你获得等于骰值的临时生命值，位于你30尺内的一名生物（不包括你）受到等于骰值的力场伤害。你可以使用此增益的次数等于你的体质调整值（至少一次），当你完成长休时，你重获所有已消耗的使用次数。 </t>
    <phoneticPr fontId="86" type="noConversion"/>
  </si>
  <si>
    <t xml:space="preserve">通用专长（先决：等级4+，侦测之纹专长） 
你获得以下增益： 
属性值提升Ability Score Increase。你选择的一项属性提升1，至多提升至20。 
直觉锐化Improved Intuition。当你使用你探索之纹的推理直觉增益时，可以不再投掷1d4，改为投掷1d6。 
广域侦测Improved Detection。当你施展法术识破隐形See Invisibility 时，你可以在法术持续期间，调整其效果，使你在投掷先攻时具有优势，且位于你30尺内的敌人投掷先攻时无法获得优势。一旦你以此增益调整该法术，直至完成长休你都无法再如此做。 </t>
    <phoneticPr fontId="86" type="noConversion"/>
  </si>
  <si>
    <t xml:space="preserve">通用专长（先决：等级4+，探索之纹专长） 
你获得以下增益： 
属性值提升Ability Score Increase。你选择的一项属性提升1，至多提升至20。 
直觉锐化Improved Intuition。当你使用你探索之纹的猎者直觉增益时，可以不再投掷1d4，改为投掷1d6。 
深度探索Improved Finding。当你施展法术猎人印记Hunter’s Mark 时，你可以调整其效果，使目标在法术持续期间无法受益于隐形状态。一旦你以此增益调整该法术，直至完成长休你都无法再如此做。 </t>
    <phoneticPr fontId="86" type="noConversion"/>
  </si>
  <si>
    <t xml:space="preserve">通用专长（先决：等级4+，畜牧之纹专长） 
你获得以下增益： 
属性值提升Ability Score Increase。你选择的一项属性属性提升1，至多提升至20。 
直觉锐化Improved Intuition。当你使用你畜牧之纹的野性直觉增益时，可以不再投掷1d4，改为投掷1d6。 
万畜牧首Improved Handling。 骑乘期间，在你的近战攻击检定命中一名位于你坐骑5尺内的目标后，你的坐骑可以立即执行反应，移动至多等于其速度的距离或执行攻击动作来发动仅一次攻击（由你选择）。 </t>
    <phoneticPr fontId="86" type="noConversion"/>
  </si>
  <si>
    <t xml:space="preserve">通用专长（先决：等级4+，医疗之纹专长） 
你获得以下增益： 
属性值提升Ability Score Increase。 你选择的一项属性属性提升1，至多提升至20。 
直觉锐化Improved Intuition。 当你使用你医药之纹的医学直觉增益时，可以不再投掷1d4，改为投掷1d6。 
医疗妙手Improved Healing。当你施展法术疗伤术Cure Wounds ，为决定生命值恢复量进行掷骰时，你可以将骰子投出的1和2都视为3。 </t>
    <phoneticPr fontId="86" type="noConversion"/>
  </si>
  <si>
    <t xml:space="preserve">通用专长（先决：等级4+，招待之纹专长） 
你获得以下增益： 
属性值提升Ability Score Increase。 你选择的一项属性属性提升1，至多提升至20。 
直觉锐化Improved Intuition。 当你使用你招待之纹的永恒款待增益时，可以不再投掷1d4，改为投掷1d6。 
宾至如归Inspired Hospitality。当你施展法术净化饮食Purify Food and Drink 时，你可以调整其效果，使位于你30尺内的生物魔法性的恢复精神。每名生物的力竭等级减少一层，且获得一定量的临时生命值，数值等于你的熟练加值加你的智力、魅力或感知调整值（在你选择该专长时选择）。一旦你以此增益调整该法术，直至完成长休你都无法再如此做。 </t>
    <phoneticPr fontId="86" type="noConversion"/>
  </si>
  <si>
    <t xml:space="preserve">通用专长（先决：等级4+，创造之纹专长） 
你获得以下增益： 
属性值提升Ability Score Increase。 你选择的一项属性属性提升1，至多提升至20。 
直觉锐化Improved Intuition。 当你使用你创造之纹的工匠直觉增益时，可以不再投掷1d4，改为投掷1d6。 
鬼斧神造Improved Making。当你施展法术魔化武器Magic Weapon 时，你可以调整其效果，使你在每个自己回合里第一次使用该武器攻击时，可以选择将该武器的加值全部或部分转移到你的护甲等级中。例如，若加值为+2，你可以将攻击检定和伤害掷骰的加值降低到+1而在AC上获得+1加值。加值改变持续到你的下一回合开始。你必须握持该武器才能获得它提供的AC加值。一旦你以此增益调整该法术，直至完成长休你都无法再如此做。 </t>
    <phoneticPr fontId="86" type="noConversion"/>
  </si>
  <si>
    <t xml:space="preserve">通用专长（先决：等级4+，通行之纹专长） 
你获得以下增益： 
属性值提升Ability Score Increase。 你选择的一项属性属性提升1，至多提升至20。 
直觉锐化Improved Intuition。 当你使用你通行之纹的直觉行动增益时，可以不再投掷1d4，改为投掷1d6。 
比翼生花Inspired Passage。当你施展法术迷踪步Misty Step 时，你可以调整其效果，带着一名你正触碰的自愿生物一同传送。那名生物传送至位于你目标空间5尺内的一处未占据空间中。一旦你以此增益调整该法术，直至完成长休你都无法再如此做。 </t>
    <phoneticPr fontId="86" type="noConversion"/>
  </si>
  <si>
    <t xml:space="preserve">通用专长（先决：等级4+，抄录之纹专长） 
你获得以下增益： 
属性值提升Ability Score Increase。你选择的一项属性属性提升1，至多提升至20。 
直觉锐化Improved Intuition。当你使用你抄录之纹的天才文员增益时，可以不再投掷1d4，改为投掷1d6。 
章天录地Inspired Scribing。当你施展法术通晓语言Comprehend Languages 时，你可以调整其效果，使一枚印记出现在一名位于你30尺内你可见的生物的上空，持续时间为法术持续时间。印记存在期间，位于该生物30尺内的你的敌人每移动向其靠近1尺需要消耗2尺移动力。若该生物进行攻击检定、施展法术或造成伤害，印记消失。 
译注：这里有个很耐人寻味的点，2024现在困难地形也好，攀爬游泳也好，写法都是“每移动1尺额外消耗1尺移动力”，但是这里偏偏故意写成了每一栋1尺消耗2尺移动力，不知道是不是碰到困难地形也还是2尺的意思，还是在2尺基础上叠加呢……叠加的话，写成额外消耗1尺不就好了，诶诶，奇离古怪 </t>
    <phoneticPr fontId="86" type="noConversion"/>
  </si>
  <si>
    <t xml:space="preserve">通用专长（先决：等级4+，守卫之纹专长） 
你获得以下增益： 
属性值提升Ability Score Increase。 你选择的一项属性属性提升1，至多提升至20。 
直觉锐化Improved Intuition。 当你使用你守卫之纹的守卫直觉增益时，可以不再投掷1d4，改为投掷1d6。 
遥不可及Improved Sentinel。当你施展法术护盾术Shield 时，你可以调整其效果，魔法性的标记一名位于你30尺内你可见的生物，持续至其下个回合结束。标记期间，目标每移动远离你1尺需要消耗2尺移动力。 </t>
    <phoneticPr fontId="86" type="noConversion"/>
  </si>
  <si>
    <t xml:space="preserve">通用专长（先决：等级4+，阴影之纹专长） 
你获得以下增益： 
属性值提升Ability Score Increase。 你选择的一项属性属性提升1，至多提升至20。 
直觉锐化Improved Intuition。 当你使用你阴影之纹的奸猾直觉增益时，可以不再投掷1d4，改为投掷1d6。 
幽邃匿影Improved Shadow。当你施展法术隐形术Incisbility 时，你可以调整其效果，使此法术对一名位于你5尺内的自愿生物也生效。受影响生物的隐形状态在其进行攻击检定、造成伤害或施展法术后立即结束。一旦你以此增益调整该法术，直至完成长休你都无法再如此做。 </t>
    <phoneticPr fontId="86" type="noConversion"/>
  </si>
  <si>
    <t xml:space="preserve">通用专长（先决：等级4+，风暴之纹专长） 
你获得以下增益： 
属性值提升Ability Score Increase。 你选择的一项属性属性提升1，至多提升至20。 
直觉锐化Improved Intuition。 当你使用你风暴之纹的风骑直觉增益时，可以不再投掷1d4，改为投掷1d6。 
长风化翼Improved Storm。当你施展法术造风术Gust of Wind 时，你可以调整其效果，令你在法术持续期间获得等于你速度一半（向下取整）的飞行速度。一旦你以此增益调整该法术，直至完成长休你都无法再如此做。 </t>
    <phoneticPr fontId="86" type="noConversion"/>
  </si>
  <si>
    <t xml:space="preserve">通用专长（先决：等级4+，警戒之纹专长） 
你获得以下增益： 
属性值提升Ability Score Increase。 你选择的一项属性属性提升1，至多提升至20。 
直觉锐化Improved Intuition。 当你使用你警戒之纹的警狱直觉增益时，可以不再投掷1d4，改为投掷1d6。 
警心涤虑Improved Warding。当你施展法术法师护甲Mage Armor 时，你可以调整其效果，使此法术对一名位于你30尺内的自愿生物也生效。一旦你以此增益调整该法术，直至完成长休你都无法再如此做。 </t>
    <phoneticPr fontId="86" type="noConversion"/>
  </si>
  <si>
    <t xml:space="preserve">通用专长（先决：等级4+，任意龙纹专长） 
你获得以下增益： 
属性值提升Ability Score Increase。你龙纹专长的施法属性提升1，至多提升至20。 
龙纹准备Dragonmark Preparation。若你的龙纹专长有纹中之法增益，你始终准备着该增益列表中的法术。 
龙纹施法Dragonmark Spellcasting。你具有一个法术位，用于施展你的龙纹专长赋予你的法术。该法术位的环阶等于你等级的一半（向上取整），最高为五环。当你完成短休或长休时，你重获已消耗的该法术位。你使用该法术位施展的法术，只能是你因你的龙纹专长或本专长的龙纹准备增益准备着的法术。 </t>
    <phoneticPr fontId="86" type="noConversion"/>
  </si>
  <si>
    <t>西伯瑞斯之恩惠</t>
    <phoneticPr fontId="86" type="noConversion"/>
  </si>
  <si>
    <t xml:space="preserve">传奇恩惠专长（先决：等级19+，艾伯伦战役） 
你获得以下增益： 
属性值提升Ability Score Increase。 你选择的一项属性提升1，至多提升至30。 
异种魔法Aberrant Magic。 选择一道来自术士法术列表的任意环阶的法术或来自西伯瑞斯龙纹表的法术，你始终准备着这道法术。你可以无需法术位地施展该法术一次，当你完成长休或短休时，你重获以此法施展该法术的能力。你也能够以你拥有的任意法术位施展该法术。 
你的这些法术的施法属性是感知、智力或魅力（在你获得该专长时选择）。 
西伯瑞斯龙纹Siberys Dragonmarks 
龙纹Dragonmark 法术Spell 
侦测Detection 真知术True Seeing  
探索Finding 传送术Teleport 
畜牧Handling 动物形态Animal Shapes  
医疗Healing 再生术Regenerate 
招待Hospitality 英雄宴Heroes’ Feast  
创造Making 创造半位面Demiplane 
通行Passage 位面转移Plane Shift  
抄录Scribing 徽记术Symbol 
守护Sentinel 心灵屏障Mind Blank  
阴影Shadow 投影术Project Image  
风暴Storm 操控天气Control Weather  
警戒Warding 迷宫术Maze </t>
    <phoneticPr fontId="86" type="noConversion"/>
  </si>
  <si>
    <t>法师</t>
    <phoneticPr fontId="86" type="noConversion"/>
  </si>
  <si>
    <t>·</t>
  </si>
  <si>
    <t>自身30尺类，如18级灵光</t>
  </si>
  <si>
    <t>自身15尺类，如灵体卫士，黑暗术</t>
  </si>
  <si>
    <t>源点20尺球类，如火球术</t>
  </si>
  <si>
    <t>巨型自身10尺类</t>
  </si>
  <si>
    <t>源点15尺球类，如黑暗术</t>
  </si>
  <si>
    <t>大型自身10尺类</t>
  </si>
  <si>
    <t>一律作图：DM裁定</t>
  </si>
  <si>
    <t>源点10尺球、柱类，如力场墙</t>
  </si>
  <si>
    <t>锥形类，如燃烧之手，龙息术</t>
  </si>
  <si>
    <t>以5-10-5移动力的方式计算范围</t>
  </si>
  <si>
    <t>直线类，如闪电束</t>
  </si>
  <si>
    <t>源点5尺球、柱类，如月华之光</t>
  </si>
  <si>
    <t>自身10尺类，如灵光，触及武器，守护之风</t>
  </si>
  <si>
    <t>15尺</t>
    <phoneticPr fontId="86" type="noConversion"/>
  </si>
  <si>
    <t>30尺</t>
    <phoneticPr fontId="86" type="noConversion"/>
  </si>
  <si>
    <t>45尺</t>
    <phoneticPr fontId="86" type="noConversion"/>
  </si>
  <si>
    <t>60尺</t>
    <phoneticPr fontId="86" type="noConversion"/>
  </si>
  <si>
    <t>75尺</t>
    <phoneticPr fontId="86" type="noConversion"/>
  </si>
  <si>
    <t>90尺</t>
    <phoneticPr fontId="86" type="noConversion"/>
  </si>
  <si>
    <r>
      <t>0.3.1</t>
    </r>
    <r>
      <rPr>
        <sz val="11"/>
        <color theme="1"/>
        <rFont val="宋体"/>
        <family val="1"/>
        <charset val="134"/>
      </rPr>
      <t>：盾牌着装选项移动至特性旁边</t>
    </r>
    <r>
      <rPr>
        <sz val="11"/>
        <color theme="1"/>
        <rFont val="Times New Roman"/>
        <family val="1"/>
      </rPr>
      <t xml:space="preserve">
0.3.2</t>
    </r>
    <r>
      <rPr>
        <sz val="11"/>
        <color theme="1"/>
        <rFont val="宋体"/>
        <family val="1"/>
        <charset val="134"/>
      </rPr>
      <t>：</t>
    </r>
    <r>
      <rPr>
        <sz val="11"/>
        <color theme="1"/>
        <rFont val="Times New Roman"/>
        <family val="1"/>
      </rPr>
      <t>BUG</t>
    </r>
    <r>
      <rPr>
        <sz val="11"/>
        <color theme="1"/>
        <rFont val="宋体"/>
        <family val="1"/>
        <charset val="134"/>
      </rPr>
      <t>修复，删除宏组件</t>
    </r>
    <r>
      <rPr>
        <sz val="11"/>
        <color theme="1"/>
        <rFont val="Times New Roman"/>
        <family val="1"/>
      </rPr>
      <t xml:space="preserve">
0.3.3</t>
    </r>
    <r>
      <rPr>
        <sz val="11"/>
        <color theme="1"/>
        <rFont val="宋体"/>
        <family val="1"/>
        <charset val="134"/>
      </rPr>
      <t>：录入</t>
    </r>
    <r>
      <rPr>
        <sz val="11"/>
        <color theme="1"/>
        <rFont val="Times New Roman"/>
        <family val="1"/>
      </rPr>
      <t>UA</t>
    </r>
    <r>
      <rPr>
        <sz val="11"/>
        <color theme="1"/>
        <rFont val="宋体"/>
        <family val="1"/>
        <charset val="134"/>
      </rPr>
      <t>内容（</t>
    </r>
    <r>
      <rPr>
        <sz val="11"/>
        <color theme="1"/>
        <rFont val="Times New Roman"/>
        <family val="1"/>
      </rPr>
      <t>25.4.21</t>
    </r>
    <r>
      <rPr>
        <sz val="11"/>
        <color theme="1"/>
        <rFont val="宋体"/>
        <family val="1"/>
        <charset val="134"/>
      </rPr>
      <t>版不全书，遗忘国度子职与艾伯伦奇械师与龙纹专长）</t>
    </r>
    <r>
      <rPr>
        <sz val="11"/>
        <color theme="1"/>
        <rFont val="Times New Roman"/>
        <family val="1"/>
      </rPr>
      <t xml:space="preserve">
</t>
    </r>
    <r>
      <rPr>
        <sz val="11"/>
        <color theme="1"/>
        <rFont val="宋体"/>
        <family val="1"/>
        <charset val="134"/>
      </rPr>
      <t>降低了「法术书」页面的专注与仪式提示颜色的饱和度，「背包」页面布局小调</t>
    </r>
    <r>
      <rPr>
        <sz val="11"/>
        <color theme="1"/>
        <rFont val="Times New Roman"/>
        <family val="1"/>
      </rPr>
      <t xml:space="preserve">
</t>
    </r>
    <r>
      <rPr>
        <sz val="11"/>
        <color theme="1"/>
        <rFont val="宋体"/>
        <family val="1"/>
        <charset val="134"/>
      </rPr>
      <t>新增「圆形效应范围」页面</t>
    </r>
    <phoneticPr fontId="86" type="noConversion"/>
  </si>
  <si>
    <t xml:space="preserve">你与此神圣领域的链接使你始终准备了特定的法术。当你到达战争领域法术表中特定的牧师等级时，你就始终准备了表中对应的法术。
战争领域法术 War Domain Spells
牧师等级 准备法术 
3 光导箭Guiding Bolt，魔化武器Magic Weapon，虔诚护盾Shield of Faith，灵体武器Spiritual Weapon
5 十字军披风crusader’s mantle，灵体卫士spirit guardians 
7 火焰护盾Fire Shield，行动自如Freedom of Movement 
9 怪物定身术hold monster，钢风斩Steel Wind Strike </t>
    <phoneticPr fontId="86" type="noConversion"/>
  </si>
  <si>
    <t>盗贼工具，修补工具，以及一种你选择的工匠工具</t>
    <phoneticPr fontId="86" type="noConversion"/>
  </si>
  <si>
    <t>附赠动作，在你使用远程武器命中一个生物时紧接可用</t>
  </si>
  <si>
    <t>惑控</t>
    <phoneticPr fontId="86" type="noConversion"/>
  </si>
  <si>
    <t>龙术</t>
    <phoneticPr fontId="86" type="noConversion"/>
  </si>
  <si>
    <t>10+魅力调整值+敏捷调整值</t>
    <phoneticPr fontId="86" type="noConversion"/>
  </si>
  <si>
    <r>
      <rPr>
        <sz val="11"/>
        <color theme="1"/>
        <rFont val="Courier New"/>
        <family val="3"/>
      </rPr>
      <t>•</t>
    </r>
    <r>
      <rPr>
        <sz val="11"/>
        <color theme="1"/>
        <rFont val="仿宋"/>
        <family val="3"/>
        <charset val="134"/>
      </rPr>
      <t xml:space="preserve"> 你魔法地扭曲施法距离内一个你可见的其他生物周边的空间。目标需通过一次体质豁免（目标可主动选择失败），否则目标将被传送至施法距离内一处你可见，由你选择的未被占据的空间。选择的空间必须是地表之上或液体之中，并且能让目标在不被挤压的情况下支撑目标。
</t>
    </r>
    <r>
      <rPr>
        <sz val="11"/>
        <color theme="1"/>
        <rFont val="Courier New"/>
        <family val="3"/>
      </rPr>
      <t>•</t>
    </r>
    <r>
      <rPr>
        <sz val="11"/>
        <color theme="1"/>
        <rFont val="仿宋"/>
        <family val="3"/>
        <charset val="134"/>
      </rPr>
      <t xml:space="preserve"> 升环施法效应：当你使用3环或更高的法术位施展该法术时，法术位每比2环高1环，施法距离便增加30尺。</t>
    </r>
    <phoneticPr fontId="86" type="noConversion"/>
  </si>
  <si>
    <t>消耗：1术法点
当你施展一道法术时，你可以消耗1术法点来忽视法术所需的言语、姿势和材料成分，但不能忽视那些会被消耗或在法术描述中写明了具体价值的材料成分。</t>
    <phoneticPr fontId="86" type="noConversion"/>
  </si>
  <si>
    <t>驯兽</t>
    <phoneticPr fontId="8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</si>
</sst>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尺&quot;"/>
    <numFmt numFmtId="177" formatCode="0&quot;LB&quot;"/>
    <numFmt numFmtId="178" formatCode="General&quot;gp&quot;"/>
  </numFmts>
  <fonts count="102" x14ac:knownFonts="1">
    <font>
      <sz val="11"/>
      <color theme="1"/>
      <name val="宋体"/>
      <charset val="134"/>
      <scheme val="minor"/>
    </font>
    <font>
      <sz val="11"/>
      <color theme="1"/>
      <name val="微软雅黑"/>
      <family val="2"/>
      <charset val="134"/>
    </font>
    <font>
      <sz val="10"/>
      <color theme="0"/>
      <name val="微软雅黑"/>
      <family val="2"/>
      <charset val="134"/>
    </font>
    <font>
      <sz val="10"/>
      <color theme="1"/>
      <name val="微软雅黑"/>
      <family val="2"/>
      <charset val="134"/>
    </font>
    <font>
      <b/>
      <sz val="10"/>
      <color rgb="FFFF0000"/>
      <name val="微软雅黑"/>
      <family val="2"/>
      <charset val="134"/>
    </font>
    <font>
      <b/>
      <sz val="12"/>
      <color rgb="FFFF0000"/>
      <name val="微软雅黑"/>
      <family val="2"/>
      <charset val="134"/>
    </font>
    <font>
      <b/>
      <sz val="10"/>
      <color theme="1"/>
      <name val="微软雅黑"/>
      <family val="2"/>
      <charset val="134"/>
    </font>
    <font>
      <b/>
      <sz val="28"/>
      <color theme="1"/>
      <name val="微软雅黑"/>
      <family val="2"/>
      <charset val="134"/>
    </font>
    <font>
      <b/>
      <sz val="22"/>
      <color rgb="FF00B0F0"/>
      <name val="微软雅黑"/>
      <family val="2"/>
      <charset val="134"/>
    </font>
    <font>
      <sz val="11"/>
      <color theme="1"/>
      <name val="Times New Roman"/>
      <family val="1"/>
    </font>
    <font>
      <b/>
      <sz val="11"/>
      <color theme="0"/>
      <name val="宋体"/>
      <family val="3"/>
      <charset val="134"/>
    </font>
    <font>
      <b/>
      <sz val="11"/>
      <color theme="0"/>
      <name val="宋体"/>
      <family val="3"/>
      <charset val="134"/>
    </font>
    <font>
      <b/>
      <sz val="11"/>
      <color theme="0"/>
      <name val="Times New Roman"/>
      <family val="1"/>
    </font>
    <font>
      <sz val="11"/>
      <color theme="1"/>
      <name val="宋体"/>
      <family val="3"/>
      <charset val="134"/>
    </font>
    <font>
      <b/>
      <sz val="14"/>
      <color theme="1"/>
      <name val="宋体"/>
      <family val="3"/>
      <charset val="134"/>
    </font>
    <font>
      <b/>
      <sz val="14"/>
      <color theme="1"/>
      <name val="Times New Roman"/>
      <family val="1"/>
    </font>
    <font>
      <sz val="11"/>
      <color theme="1"/>
      <name val="宋体"/>
      <family val="3"/>
      <charset val="134"/>
      <scheme val="minor"/>
    </font>
    <font>
      <b/>
      <sz val="11"/>
      <color theme="0"/>
      <name val="宋体"/>
      <family val="3"/>
      <charset val="134"/>
      <scheme val="minor"/>
    </font>
    <font>
      <sz val="12"/>
      <color theme="1"/>
      <name val="宋体"/>
      <family val="3"/>
      <charset val="134"/>
      <scheme val="minor"/>
    </font>
    <font>
      <sz val="36"/>
      <color theme="1"/>
      <name val="宋体"/>
      <family val="3"/>
      <charset val="134"/>
      <scheme val="minor"/>
    </font>
    <font>
      <sz val="10"/>
      <color rgb="FFF7F7EB"/>
      <name val="微软雅黑"/>
      <family val="2"/>
      <charset val="134"/>
    </font>
    <font>
      <sz val="8"/>
      <color theme="1" tint="0.499984740745262"/>
      <name val="微软雅黑"/>
      <family val="2"/>
      <charset val="134"/>
    </font>
    <font>
      <sz val="8"/>
      <color theme="0" tint="-0.499984740745262"/>
      <name val="微软雅黑"/>
      <family val="2"/>
      <charset val="134"/>
    </font>
    <font>
      <sz val="8"/>
      <color theme="0" tint="-0.34998626667073579"/>
      <name val="微软雅黑"/>
      <family val="2"/>
      <charset val="134"/>
    </font>
    <font>
      <sz val="11"/>
      <color theme="1"/>
      <name val="仿宋"/>
      <family val="3"/>
      <charset val="134"/>
    </font>
    <font>
      <sz val="24"/>
      <color theme="1"/>
      <name val="微软雅黑"/>
      <family val="2"/>
      <charset val="134"/>
    </font>
    <font>
      <b/>
      <sz val="11"/>
      <color theme="1"/>
      <name val="微软雅黑"/>
      <family val="2"/>
      <charset val="134"/>
    </font>
    <font>
      <sz val="12"/>
      <color theme="1"/>
      <name val="微软雅黑"/>
      <family val="2"/>
      <charset val="134"/>
    </font>
    <font>
      <sz val="10"/>
      <color theme="0" tint="-0.499984740745262"/>
      <name val="微软雅黑"/>
      <family val="2"/>
      <charset val="134"/>
    </font>
    <font>
      <b/>
      <sz val="10"/>
      <color theme="0"/>
      <name val="微软雅黑"/>
      <family val="2"/>
      <charset val="134"/>
    </font>
    <font>
      <sz val="8"/>
      <color theme="1"/>
      <name val="微软雅黑"/>
      <family val="2"/>
      <charset val="134"/>
    </font>
    <font>
      <sz val="7"/>
      <color theme="1"/>
      <name val="微软雅黑"/>
      <family val="2"/>
      <charset val="134"/>
    </font>
    <font>
      <b/>
      <sz val="9"/>
      <color theme="0"/>
      <name val="微软雅黑"/>
      <family val="2"/>
      <charset val="134"/>
    </font>
    <font>
      <b/>
      <sz val="10"/>
      <color rgb="FFFFFCEB"/>
      <name val="微软雅黑"/>
      <family val="2"/>
      <charset val="134"/>
    </font>
    <font>
      <b/>
      <sz val="10"/>
      <color theme="0" tint="-4.9989318521683403E-2"/>
      <name val="微软雅黑"/>
      <family val="2"/>
      <charset val="134"/>
    </font>
    <font>
      <b/>
      <sz val="10"/>
      <color rgb="FFFEEF00"/>
      <name val="微软雅黑"/>
      <family val="2"/>
      <charset val="134"/>
    </font>
    <font>
      <b/>
      <sz val="10"/>
      <color rgb="FFB87333"/>
      <name val="微软雅黑"/>
      <family val="2"/>
      <charset val="134"/>
    </font>
    <font>
      <sz val="10"/>
      <color theme="1"/>
      <name val="宋体"/>
      <family val="3"/>
      <charset val="134"/>
      <scheme val="minor"/>
    </font>
    <font>
      <b/>
      <sz val="10"/>
      <color theme="7" tint="-0.249977111117893"/>
      <name val="微软雅黑"/>
      <family val="2"/>
      <charset val="134"/>
    </font>
    <font>
      <b/>
      <sz val="10"/>
      <color theme="4" tint="-0.249977111117893"/>
      <name val="微软雅黑"/>
      <family val="2"/>
      <charset val="134"/>
    </font>
    <font>
      <sz val="10"/>
      <color theme="0" tint="-0.34998626667073579"/>
      <name val="微软雅黑"/>
      <family val="2"/>
      <charset val="134"/>
    </font>
    <font>
      <sz val="9"/>
      <color theme="1"/>
      <name val="微软雅黑"/>
      <family val="2"/>
      <charset val="134"/>
    </font>
    <font>
      <sz val="12"/>
      <color theme="0" tint="-0.499984740745262"/>
      <name val="微软雅黑"/>
      <family val="2"/>
      <charset val="134"/>
    </font>
    <font>
      <sz val="10"/>
      <name val="微软雅黑"/>
      <family val="2"/>
      <charset val="134"/>
    </font>
    <font>
      <sz val="11"/>
      <color theme="0" tint="-0.499984740745262"/>
      <name val="微软雅黑"/>
      <family val="2"/>
      <charset val="134"/>
    </font>
    <font>
      <sz val="9"/>
      <color theme="0"/>
      <name val="微软雅黑"/>
      <family val="2"/>
      <charset val="134"/>
    </font>
    <font>
      <sz val="11"/>
      <name val="宋体"/>
      <family val="3"/>
      <charset val="134"/>
    </font>
    <font>
      <b/>
      <sz val="11"/>
      <name val="宋体"/>
      <family val="3"/>
      <charset val="134"/>
    </font>
    <font>
      <sz val="11"/>
      <name val="宋体"/>
      <family val="3"/>
      <charset val="134"/>
      <scheme val="minor"/>
    </font>
    <font>
      <b/>
      <i/>
      <u/>
      <sz val="11"/>
      <color rgb="FFFF0000"/>
      <name val="宋体"/>
      <family val="3"/>
      <charset val="134"/>
    </font>
    <font>
      <b/>
      <sz val="11"/>
      <color theme="1"/>
      <name val="宋体"/>
      <family val="3"/>
      <charset val="134"/>
      <scheme val="minor"/>
    </font>
    <font>
      <b/>
      <sz val="9"/>
      <color theme="1"/>
      <name val="微软雅黑"/>
      <family val="2"/>
      <charset val="134"/>
    </font>
    <font>
      <sz val="10"/>
      <name val="宋体"/>
      <family val="3"/>
      <charset val="134"/>
      <scheme val="minor"/>
    </font>
    <font>
      <sz val="11"/>
      <color rgb="FF00B050"/>
      <name val="宋体"/>
      <family val="3"/>
      <charset val="134"/>
      <scheme val="minor"/>
    </font>
    <font>
      <sz val="10"/>
      <color theme="8" tint="-0.499984740745262"/>
      <name val="宋体"/>
      <family val="3"/>
      <charset val="134"/>
      <scheme val="minor"/>
    </font>
    <font>
      <sz val="11"/>
      <color rgb="FF000000"/>
      <name val="Times New Roman"/>
      <family val="1"/>
    </font>
    <font>
      <sz val="11"/>
      <color theme="1"/>
      <name val="宋体"/>
      <family val="3"/>
      <charset val="134"/>
    </font>
    <font>
      <sz val="9"/>
      <color theme="1"/>
      <name val="宋体"/>
      <family val="3"/>
      <charset val="134"/>
    </font>
    <font>
      <sz val="10"/>
      <color theme="1"/>
      <name val="宋体"/>
      <family val="3"/>
      <charset val="134"/>
    </font>
    <font>
      <sz val="10"/>
      <color rgb="FF000000"/>
      <name val="宋体"/>
      <family val="3"/>
      <charset val="134"/>
    </font>
    <font>
      <b/>
      <sz val="11"/>
      <color theme="1"/>
      <name val="宋体"/>
      <family val="3"/>
      <charset val="134"/>
    </font>
    <font>
      <b/>
      <sz val="11"/>
      <color theme="7" tint="-0.249977111117893"/>
      <name val="微软雅黑"/>
      <family val="2"/>
      <charset val="134"/>
    </font>
    <font>
      <sz val="5"/>
      <color rgb="FFF7F7EB"/>
      <name val="微软雅黑"/>
      <family val="2"/>
      <charset val="134"/>
    </font>
    <font>
      <b/>
      <sz val="12"/>
      <color theme="7" tint="-0.249977111117893"/>
      <name val="微软雅黑"/>
      <family val="2"/>
      <charset val="134"/>
    </font>
    <font>
      <b/>
      <sz val="12"/>
      <color theme="0"/>
      <name val="微软雅黑"/>
      <family val="2"/>
      <charset val="134"/>
    </font>
    <font>
      <sz val="10"/>
      <name val="Microsoft JhengHei"/>
      <family val="2"/>
    </font>
    <font>
      <sz val="10"/>
      <color theme="0" tint="-0.249977111117893"/>
      <name val="微软雅黑"/>
      <family val="2"/>
      <charset val="134"/>
    </font>
    <font>
      <b/>
      <sz val="11"/>
      <color theme="4"/>
      <name val="微软雅黑"/>
      <family val="2"/>
      <charset val="134"/>
    </font>
    <font>
      <b/>
      <sz val="16"/>
      <color theme="9"/>
      <name val="微软雅黑"/>
      <family val="2"/>
      <charset val="134"/>
    </font>
    <font>
      <b/>
      <sz val="14"/>
      <color theme="9"/>
      <name val="微软雅黑"/>
      <family val="2"/>
      <charset val="134"/>
    </font>
    <font>
      <sz val="12"/>
      <color theme="0" tint="-0.249977111117893"/>
      <name val="微软雅黑"/>
      <family val="2"/>
      <charset val="134"/>
    </font>
    <font>
      <b/>
      <sz val="12"/>
      <color theme="4"/>
      <name val="微软雅黑"/>
      <family val="2"/>
      <charset val="134"/>
    </font>
    <font>
      <b/>
      <sz val="8"/>
      <color theme="0"/>
      <name val="微软雅黑"/>
      <family val="2"/>
      <charset val="134"/>
    </font>
    <font>
      <sz val="10"/>
      <color theme="7" tint="-0.249977111117893"/>
      <name val="微软雅黑"/>
      <family val="2"/>
      <charset val="134"/>
    </font>
    <font>
      <b/>
      <sz val="16"/>
      <color theme="4" tint="-0.249977111117893"/>
      <name val="微软雅黑"/>
      <family val="2"/>
      <charset val="134"/>
    </font>
    <font>
      <b/>
      <sz val="12"/>
      <color theme="4" tint="-0.249977111117893"/>
      <name val="微软雅黑"/>
      <family val="2"/>
      <charset val="134"/>
    </font>
    <font>
      <b/>
      <sz val="12"/>
      <color theme="9"/>
      <name val="微软雅黑"/>
      <family val="2"/>
      <charset val="134"/>
    </font>
    <font>
      <b/>
      <sz val="10"/>
      <name val="微软雅黑"/>
      <family val="2"/>
      <charset val="134"/>
    </font>
    <font>
      <b/>
      <sz val="9"/>
      <color theme="4"/>
      <name val="微软雅黑"/>
      <family val="2"/>
      <charset val="134"/>
    </font>
    <font>
      <sz val="8"/>
      <color theme="0"/>
      <name val="微软雅黑"/>
      <family val="2"/>
      <charset val="134"/>
    </font>
    <font>
      <b/>
      <sz val="18"/>
      <color theme="0"/>
      <name val="微软雅黑"/>
      <family val="2"/>
      <charset val="134"/>
    </font>
    <font>
      <sz val="11"/>
      <color theme="1"/>
      <name val="Arial"/>
      <family val="2"/>
    </font>
    <font>
      <b/>
      <sz val="11"/>
      <color theme="1"/>
      <name val="仿宋"/>
      <family val="3"/>
      <charset val="134"/>
    </font>
    <font>
      <b/>
      <sz val="11"/>
      <color theme="1"/>
      <name val="Arial"/>
      <family val="2"/>
    </font>
    <font>
      <sz val="9"/>
      <name val="宋体"/>
      <family val="3"/>
      <charset val="134"/>
    </font>
    <font>
      <sz val="9"/>
      <name val="微软雅黑"/>
      <family val="2"/>
      <charset val="134"/>
    </font>
    <font>
      <sz val="9"/>
      <name val="宋体"/>
      <family val="3"/>
      <charset val="134"/>
      <scheme val="minor"/>
    </font>
    <font>
      <sz val="11"/>
      <color theme="1"/>
      <name val="宋体"/>
      <family val="3"/>
      <charset val="134"/>
    </font>
    <font>
      <sz val="11"/>
      <color theme="1"/>
      <name val="宋体"/>
      <family val="1"/>
      <charset val="134"/>
    </font>
    <font>
      <b/>
      <sz val="11"/>
      <color theme="0"/>
      <name val="宋体"/>
      <family val="3"/>
      <charset val="134"/>
    </font>
    <font>
      <b/>
      <sz val="12"/>
      <color theme="1"/>
      <name val="宋体"/>
      <family val="3"/>
      <charset val="134"/>
      <scheme val="major"/>
    </font>
    <font>
      <b/>
      <sz val="11"/>
      <color theme="1"/>
      <name val="宋体"/>
      <family val="3"/>
      <charset val="134"/>
      <scheme val="major"/>
    </font>
    <font>
      <sz val="12"/>
      <color theme="1"/>
      <name val="宋体"/>
      <family val="3"/>
      <charset val="134"/>
      <scheme val="major"/>
    </font>
    <font>
      <sz val="9"/>
      <color indexed="81"/>
      <name val="宋体"/>
      <family val="3"/>
      <charset val="134"/>
    </font>
    <font>
      <b/>
      <sz val="11"/>
      <color theme="1"/>
      <name val="Times New Roman"/>
      <family val="1"/>
    </font>
    <font>
      <b/>
      <sz val="11"/>
      <color theme="0"/>
      <name val="微软雅黑"/>
      <family val="2"/>
      <charset val="134"/>
    </font>
    <font>
      <b/>
      <sz val="11"/>
      <color theme="0" tint="-4.9989318521683403E-2"/>
      <name val="微软雅黑"/>
      <family val="2"/>
      <charset val="134"/>
    </font>
    <font>
      <sz val="11"/>
      <name val="微软雅黑"/>
      <family val="2"/>
      <charset val="134"/>
    </font>
    <font>
      <sz val="11"/>
      <color theme="4"/>
      <name val="微软雅黑"/>
      <family val="2"/>
      <charset val="134"/>
    </font>
    <font>
      <sz val="11"/>
      <color rgb="FFFF0000"/>
      <name val="微软雅黑"/>
      <family val="2"/>
      <charset val="134"/>
    </font>
    <font>
      <sz val="11"/>
      <color rgb="FF000000"/>
      <name val="宋体"/>
      <family val="3"/>
      <charset val="134"/>
    </font>
    <font>
      <sz val="11"/>
      <color theme="1"/>
      <name val="Courier New"/>
      <family val="3"/>
    </font>
  </fonts>
  <fills count="52">
    <fill>
      <patternFill patternType="none"/>
    </fill>
    <fill>
      <patternFill patternType="gray125"/>
    </fill>
    <fill>
      <patternFill patternType="solid">
        <fgColor theme="4"/>
        <bgColor indexed="64"/>
      </patternFill>
    </fill>
    <fill>
      <patternFill patternType="solid">
        <fgColor rgb="FFBDFFBD"/>
        <bgColor indexed="64"/>
      </patternFill>
    </fill>
    <fill>
      <patternFill patternType="solid">
        <fgColor theme="0"/>
        <bgColor indexed="64"/>
      </patternFill>
    </fill>
    <fill>
      <patternFill patternType="solid">
        <fgColor theme="4" tint="0.79992065187536243"/>
        <bgColor indexed="64"/>
      </patternFill>
    </fill>
    <fill>
      <patternFill patternType="solid">
        <fgColor rgb="FF00B0F0"/>
        <bgColor indexed="64"/>
      </patternFill>
    </fill>
    <fill>
      <patternFill patternType="solid">
        <fgColor theme="0" tint="-0.14996795556505021"/>
        <bgColor indexed="64"/>
      </patternFill>
    </fill>
    <fill>
      <patternFill patternType="solid">
        <fgColor theme="6" tint="0.39994506668294322"/>
        <bgColor indexed="64"/>
      </patternFill>
    </fill>
    <fill>
      <patternFill patternType="solid">
        <fgColor rgb="FFF7F7EB"/>
        <bgColor indexed="64"/>
      </patternFill>
    </fill>
    <fill>
      <patternFill patternType="solid">
        <fgColor theme="5" tint="-0.249977111117893"/>
        <bgColor indexed="64"/>
      </patternFill>
    </fill>
    <fill>
      <patternFill patternType="solid">
        <fgColor theme="5" tint="0.3999450666829432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9D2E1"/>
        <bgColor indexed="64"/>
      </patternFill>
    </fill>
    <fill>
      <patternFill patternType="solid">
        <fgColor rgb="FFFEDEAB"/>
        <bgColor indexed="64"/>
      </patternFill>
    </fill>
    <fill>
      <patternFill patternType="solid">
        <fgColor rgb="FFDDD9C4"/>
        <bgColor indexed="64"/>
      </patternFill>
    </fill>
    <fill>
      <patternFill patternType="solid">
        <fgColor rgb="FFB9FBFE"/>
        <bgColor indexed="64"/>
      </patternFill>
    </fill>
    <fill>
      <patternFill patternType="solid">
        <fgColor rgb="FFFDE9D9"/>
        <bgColor indexed="64"/>
      </patternFill>
    </fill>
    <fill>
      <patternFill patternType="solid">
        <fgColor rgb="FFF5D7F1"/>
        <bgColor indexed="64"/>
      </patternFill>
    </fill>
    <fill>
      <patternFill patternType="solid">
        <fgColor rgb="FFFAFEC2"/>
        <bgColor indexed="64"/>
      </patternFill>
    </fill>
    <fill>
      <patternFill patternType="solid">
        <fgColor rgb="FFDCE6F1"/>
        <bgColor indexed="64"/>
      </patternFill>
    </fill>
    <fill>
      <patternFill patternType="solid">
        <fgColor theme="5" tint="-0.499984740745262"/>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theme="7" tint="0.79995117038483843"/>
        <bgColor indexed="64"/>
      </patternFill>
    </fill>
    <fill>
      <patternFill patternType="solid">
        <fgColor theme="2"/>
        <bgColor indexed="64"/>
      </patternFill>
    </fill>
    <fill>
      <patternFill patternType="solid">
        <fgColor theme="4" tint="0.79995117038483843"/>
        <bgColor indexed="64"/>
      </patternFill>
    </fill>
    <fill>
      <patternFill patternType="solid">
        <fgColor theme="7" tint="0.39994506668294322"/>
        <bgColor indexed="64"/>
      </patternFill>
    </fill>
    <fill>
      <patternFill patternType="solid">
        <fgColor rgb="FFEEEEEE"/>
        <bgColor indexed="64"/>
      </patternFill>
    </fill>
    <fill>
      <patternFill patternType="solid">
        <fgColor theme="8" tint="0.79995117038483843"/>
        <bgColor indexed="64"/>
      </patternFill>
    </fill>
    <fill>
      <patternFill patternType="solid">
        <fgColor theme="2" tint="-9.9978637043366805E-2"/>
        <bgColor indexed="64"/>
      </patternFill>
    </fill>
    <fill>
      <patternFill patternType="solid">
        <fgColor theme="9" tint="0.79995117038483843"/>
        <bgColor indexed="64"/>
      </patternFill>
    </fill>
    <fill>
      <patternFill patternType="solid">
        <fgColor rgb="FFE0E5C2"/>
        <bgColor indexed="64"/>
      </patternFill>
    </fill>
    <fill>
      <patternFill patternType="solid">
        <fgColor theme="8" tint="-0.249977111117893"/>
        <bgColor indexed="64"/>
      </patternFill>
    </fill>
    <fill>
      <patternFill patternType="solid">
        <fgColor theme="8" tint="0.3999450666829432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305496"/>
        <bgColor indexed="64"/>
      </patternFill>
    </fill>
    <fill>
      <patternFill patternType="solid">
        <fgColor theme="0" tint="-0.14999847407452621"/>
        <bgColor indexed="64"/>
      </patternFill>
    </fill>
    <fill>
      <patternFill patternType="solid">
        <fgColor rgb="FFEAEAEA"/>
        <bgColor indexed="64"/>
      </patternFill>
    </fill>
    <fill>
      <patternFill patternType="solid">
        <fgColor rgb="FFE3A99D"/>
        <bgColor indexed="64"/>
      </patternFill>
    </fill>
    <fill>
      <patternFill patternType="solid">
        <fgColor rgb="FFFFD071"/>
        <bgColor indexed="64"/>
      </patternFill>
    </fill>
    <fill>
      <patternFill patternType="solid">
        <fgColor rgb="FFDDE4EF"/>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E5DFE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499984740745262"/>
        <bgColor indexed="64"/>
      </patternFill>
    </fill>
  </fills>
  <borders count="64">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00B050"/>
      </left>
      <right style="thin">
        <color rgb="FF00B050"/>
      </right>
      <top style="thin">
        <color rgb="FF00B050"/>
      </top>
      <bottom style="thin">
        <color rgb="FF00B050"/>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auto="1"/>
      </left>
      <right/>
      <top/>
      <bottom/>
      <diagonal/>
    </border>
    <border>
      <left/>
      <right style="thin">
        <color auto="1"/>
      </right>
      <top/>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top style="thin">
        <color theme="0" tint="-0.14990691854609822"/>
      </top>
      <bottom style="thin">
        <color theme="0" tint="-0.1499069185460982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0.14990691854609822"/>
      </left>
      <right style="thin">
        <color theme="0" tint="-0.14990691854609822"/>
      </right>
      <top/>
      <bottom/>
      <diagonal/>
    </border>
    <border diagonalDown="1">
      <left/>
      <right/>
      <top/>
      <bottom/>
      <diagonal style="thin">
        <color auto="1"/>
      </diagonal>
    </border>
    <border>
      <left/>
      <right/>
      <top style="thin">
        <color auto="1"/>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auto="1"/>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medium">
        <color auto="1"/>
      </top>
      <bottom/>
      <diagonal/>
    </border>
    <border>
      <left style="medium">
        <color auto="1"/>
      </left>
      <right/>
      <top/>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ck">
        <color auto="1"/>
      </right>
      <top/>
      <bottom/>
      <diagonal/>
    </border>
    <border>
      <left style="thick">
        <color auto="1"/>
      </left>
      <right/>
      <top style="medium">
        <color auto="1"/>
      </top>
      <bottom/>
      <diagonal/>
    </border>
    <border>
      <left style="thick">
        <color auto="1"/>
      </left>
      <right/>
      <top/>
      <bottom/>
      <diagonal/>
    </border>
    <border>
      <left/>
      <right/>
      <top style="thick">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tted">
        <color auto="1"/>
      </left>
      <right style="thin">
        <color auto="1"/>
      </right>
      <top style="thin">
        <color auto="1"/>
      </top>
      <bottom style="thin">
        <color auto="1"/>
      </bottom>
      <diagonal/>
    </border>
    <border>
      <left style="dashed">
        <color auto="1"/>
      </left>
      <right/>
      <top style="thin">
        <color auto="1"/>
      </top>
      <bottom style="thin">
        <color auto="1"/>
      </bottom>
      <diagonal/>
    </border>
    <border>
      <left style="thin">
        <color theme="5" tint="-0.499984740745262"/>
      </left>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top style="thin">
        <color theme="5" tint="-0.499984740745262"/>
      </top>
      <bottom style="thin">
        <color auto="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s>
  <cellStyleXfs count="3">
    <xf numFmtId="0" fontId="0" fillId="0" borderId="0">
      <alignment vertical="center"/>
    </xf>
    <xf numFmtId="0" fontId="46" fillId="0" borderId="0">
      <alignment vertical="center"/>
    </xf>
    <xf numFmtId="0" fontId="16" fillId="0" borderId="0">
      <alignment vertical="center"/>
    </xf>
  </cellStyleXfs>
  <cellXfs count="893">
    <xf numFmtId="0" fontId="0" fillId="0" borderId="0" xfId="0">
      <alignment vertical="center"/>
    </xf>
    <xf numFmtId="0" fontId="1" fillId="0" borderId="0" xfId="0" applyFo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lignment vertical="center"/>
    </xf>
    <xf numFmtId="0" fontId="9" fillId="0" borderId="0" xfId="0" applyFont="1">
      <alignment vertical="center"/>
    </xf>
    <xf numFmtId="0" fontId="13" fillId="0" borderId="0" xfId="0" applyFont="1" applyAlignment="1">
      <alignment vertical="top" wrapText="1"/>
    </xf>
    <xf numFmtId="0" fontId="16" fillId="9" borderId="0" xfId="0" applyFont="1" applyFill="1">
      <alignment vertical="center"/>
    </xf>
    <xf numFmtId="0" fontId="16" fillId="9" borderId="0" xfId="0" applyFont="1" applyFill="1" applyProtection="1">
      <alignment vertical="center"/>
      <protection locked="0"/>
    </xf>
    <xf numFmtId="0" fontId="3" fillId="9" borderId="0" xfId="0" applyFont="1" applyFill="1" applyAlignment="1">
      <alignment horizontal="center" vertical="center"/>
    </xf>
    <xf numFmtId="0" fontId="20" fillId="9" borderId="0" xfId="0" applyFont="1" applyFill="1" applyAlignment="1">
      <alignment horizontal="center" vertical="center"/>
    </xf>
    <xf numFmtId="0" fontId="21" fillId="9" borderId="0" xfId="0" applyFont="1" applyFill="1" applyAlignment="1">
      <alignment horizontal="center" vertical="center"/>
    </xf>
    <xf numFmtId="0" fontId="21" fillId="9" borderId="21" xfId="0" applyFont="1" applyFill="1" applyBorder="1" applyAlignment="1">
      <alignment horizontal="center" vertical="center"/>
    </xf>
    <xf numFmtId="0" fontId="22" fillId="9" borderId="0" xfId="0" applyFont="1" applyFill="1" applyAlignment="1">
      <alignment horizontal="center" vertical="center" wrapText="1"/>
    </xf>
    <xf numFmtId="0" fontId="3" fillId="9" borderId="0" xfId="0" applyFont="1" applyFill="1" applyAlignment="1">
      <alignment horizontal="center" vertical="center" wrapText="1"/>
    </xf>
    <xf numFmtId="0" fontId="3" fillId="13" borderId="22" xfId="0" applyFont="1" applyFill="1" applyBorder="1" applyAlignment="1" applyProtection="1">
      <alignment horizontal="center" vertical="center" wrapText="1"/>
      <protection locked="0"/>
    </xf>
    <xf numFmtId="0" fontId="3" fillId="13" borderId="23" xfId="0" applyFont="1" applyFill="1" applyBorder="1" applyAlignment="1" applyProtection="1">
      <alignment horizontal="center" vertical="center" wrapText="1"/>
      <protection locked="0"/>
    </xf>
    <xf numFmtId="0" fontId="3" fillId="13" borderId="23" xfId="0" applyFont="1" applyFill="1" applyBorder="1" applyAlignment="1" applyProtection="1">
      <alignment horizontal="center" vertical="top" wrapText="1"/>
      <protection locked="0"/>
    </xf>
    <xf numFmtId="0" fontId="3" fillId="13" borderId="23" xfId="0" applyFont="1" applyFill="1" applyBorder="1" applyAlignment="1" applyProtection="1">
      <alignment horizontal="center" vertical="center"/>
      <protection locked="0"/>
    </xf>
    <xf numFmtId="0" fontId="3" fillId="4" borderId="22"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top" wrapText="1"/>
      <protection locked="0"/>
    </xf>
    <xf numFmtId="0" fontId="3" fillId="4" borderId="23" xfId="0" applyFont="1" applyFill="1" applyBorder="1" applyAlignment="1" applyProtection="1">
      <alignment horizontal="center" vertical="center"/>
      <protection locked="0"/>
    </xf>
    <xf numFmtId="0" fontId="23" fillId="9" borderId="0" xfId="0" applyFont="1" applyFill="1" applyAlignment="1">
      <alignment horizontal="center" vertical="center" wrapText="1"/>
    </xf>
    <xf numFmtId="0" fontId="3" fillId="13" borderId="23"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24" fillId="0" borderId="0" xfId="0" applyFont="1" applyAlignment="1">
      <alignment horizontal="center" vertical="center"/>
    </xf>
    <xf numFmtId="0" fontId="24" fillId="0" borderId="0" xfId="0" applyFont="1" applyAlignment="1">
      <alignment horizontal="left" vertical="center"/>
    </xf>
    <xf numFmtId="0" fontId="24" fillId="0" borderId="0" xfId="0" applyFont="1" applyAlignment="1">
      <alignment horizontal="center" vertical="top" wrapText="1"/>
    </xf>
    <xf numFmtId="0" fontId="24" fillId="0" borderId="0" xfId="0" applyFont="1" applyAlignment="1">
      <alignment vertical="top" wrapText="1"/>
    </xf>
    <xf numFmtId="0" fontId="24" fillId="0" borderId="0" xfId="0" applyFont="1">
      <alignment vertical="center"/>
    </xf>
    <xf numFmtId="0" fontId="24" fillId="0" borderId="0" xfId="0" applyFont="1" applyAlignment="1">
      <alignment horizontal="left" vertical="top" wrapText="1"/>
    </xf>
    <xf numFmtId="0" fontId="24" fillId="0" borderId="24" xfId="0" applyFont="1" applyBorder="1" applyAlignment="1">
      <alignment horizontal="left" vertical="center"/>
    </xf>
    <xf numFmtId="0" fontId="24" fillId="0" borderId="24" xfId="0" applyFont="1" applyBorder="1" applyAlignment="1">
      <alignment horizontal="left" vertical="top" wrapText="1"/>
    </xf>
    <xf numFmtId="0" fontId="24" fillId="14" borderId="24" xfId="0" applyFont="1" applyFill="1" applyBorder="1" applyAlignment="1">
      <alignment horizontal="center" vertical="center"/>
    </xf>
    <xf numFmtId="0" fontId="24" fillId="14" borderId="24" xfId="0" applyFont="1" applyFill="1" applyBorder="1" applyAlignment="1">
      <alignment horizontal="center" vertical="top" wrapText="1"/>
    </xf>
    <xf numFmtId="0" fontId="24" fillId="15" borderId="24" xfId="0" applyFont="1" applyFill="1" applyBorder="1" applyAlignment="1">
      <alignment horizontal="center" vertical="center"/>
    </xf>
    <xf numFmtId="0" fontId="24" fillId="15" borderId="24" xfId="0" applyFont="1" applyFill="1" applyBorder="1" applyAlignment="1">
      <alignment horizontal="center" vertical="top" wrapText="1"/>
    </xf>
    <xf numFmtId="0" fontId="24" fillId="16" borderId="24" xfId="0" applyFont="1" applyFill="1" applyBorder="1" applyAlignment="1">
      <alignment horizontal="center" vertical="center"/>
    </xf>
    <xf numFmtId="0" fontId="24" fillId="16" borderId="24" xfId="0" applyFont="1" applyFill="1" applyBorder="1" applyAlignment="1">
      <alignment horizontal="center" vertical="top" wrapText="1"/>
    </xf>
    <xf numFmtId="0" fontId="24" fillId="17" borderId="24" xfId="0" applyFont="1" applyFill="1" applyBorder="1" applyAlignment="1">
      <alignment horizontal="center" vertical="center"/>
    </xf>
    <xf numFmtId="0" fontId="24" fillId="17" borderId="24" xfId="0" applyFont="1" applyFill="1" applyBorder="1" applyAlignment="1">
      <alignment horizontal="center" vertical="top" wrapText="1"/>
    </xf>
    <xf numFmtId="0" fontId="24" fillId="18" borderId="24" xfId="0" applyFont="1" applyFill="1" applyBorder="1" applyAlignment="1">
      <alignment horizontal="center" vertical="center"/>
    </xf>
    <xf numFmtId="0" fontId="24" fillId="18" borderId="24" xfId="0" applyFont="1" applyFill="1" applyBorder="1" applyAlignment="1">
      <alignment horizontal="center" vertical="top" wrapText="1"/>
    </xf>
    <xf numFmtId="0" fontId="24" fillId="19" borderId="24" xfId="0" applyFont="1" applyFill="1" applyBorder="1" applyAlignment="1">
      <alignment horizontal="center" vertical="center"/>
    </xf>
    <xf numFmtId="0" fontId="24" fillId="19" borderId="24" xfId="0" applyFont="1" applyFill="1" applyBorder="1" applyAlignment="1">
      <alignment horizontal="center" vertical="top" wrapText="1"/>
    </xf>
    <xf numFmtId="0" fontId="24" fillId="20" borderId="24" xfId="0" applyFont="1" applyFill="1" applyBorder="1" applyAlignment="1">
      <alignment horizontal="center" vertical="center"/>
    </xf>
    <xf numFmtId="0" fontId="24" fillId="20" borderId="24" xfId="0" applyFont="1" applyFill="1" applyBorder="1" applyAlignment="1">
      <alignment horizontal="center" vertical="top" wrapText="1"/>
    </xf>
    <xf numFmtId="0" fontId="24" fillId="21" borderId="24" xfId="0" applyFont="1" applyFill="1" applyBorder="1" applyAlignment="1">
      <alignment horizontal="center" vertical="center"/>
    </xf>
    <xf numFmtId="0" fontId="24" fillId="21" borderId="24" xfId="0" applyFont="1" applyFill="1" applyBorder="1" applyAlignment="1">
      <alignment horizontal="center" vertical="top" wrapText="1"/>
    </xf>
    <xf numFmtId="0" fontId="24" fillId="0" borderId="0" xfId="0" applyFont="1" applyAlignment="1">
      <alignment horizontal="center" vertical="top"/>
    </xf>
    <xf numFmtId="0" fontId="24" fillId="0" borderId="25" xfId="0" applyFont="1" applyBorder="1" applyAlignment="1">
      <alignment horizontal="left" vertical="center"/>
    </xf>
    <xf numFmtId="0" fontId="24" fillId="0" borderId="26" xfId="0" applyFont="1" applyBorder="1" applyAlignment="1">
      <alignment horizontal="left" vertical="top" wrapText="1"/>
    </xf>
    <xf numFmtId="0" fontId="24" fillId="14" borderId="24" xfId="0" applyFont="1" applyFill="1" applyBorder="1" applyAlignment="1">
      <alignment horizontal="left" vertical="top" wrapText="1"/>
    </xf>
    <xf numFmtId="0" fontId="24" fillId="14" borderId="25" xfId="0" applyFont="1" applyFill="1" applyBorder="1" applyAlignment="1">
      <alignment horizontal="left" vertical="center"/>
    </xf>
    <xf numFmtId="0" fontId="24" fillId="14" borderId="20" xfId="0" applyFont="1" applyFill="1" applyBorder="1" applyAlignment="1">
      <alignment horizontal="left" vertical="top" wrapText="1"/>
    </xf>
    <xf numFmtId="0" fontId="24" fillId="15" borderId="24" xfId="0" applyFont="1" applyFill="1" applyBorder="1" applyAlignment="1">
      <alignment horizontal="left" vertical="top" wrapText="1"/>
    </xf>
    <xf numFmtId="0" fontId="24" fillId="15" borderId="25" xfId="0" applyFont="1" applyFill="1" applyBorder="1" applyAlignment="1">
      <alignment horizontal="left" vertical="center"/>
    </xf>
    <xf numFmtId="0" fontId="24" fillId="15" borderId="20" xfId="0" applyFont="1" applyFill="1" applyBorder="1" applyAlignment="1">
      <alignment horizontal="left" vertical="top" wrapText="1"/>
    </xf>
    <xf numFmtId="0" fontId="24" fillId="16" borderId="24" xfId="0" applyFont="1" applyFill="1" applyBorder="1" applyAlignment="1">
      <alignment horizontal="left" vertical="top" wrapText="1"/>
    </xf>
    <xf numFmtId="0" fontId="24" fillId="16" borderId="25" xfId="0" applyFont="1" applyFill="1" applyBorder="1" applyAlignment="1">
      <alignment horizontal="left" vertical="center"/>
    </xf>
    <xf numFmtId="0" fontId="24" fillId="16" borderId="20" xfId="0" applyFont="1" applyFill="1" applyBorder="1" applyAlignment="1">
      <alignment horizontal="left" vertical="top" wrapText="1"/>
    </xf>
    <xf numFmtId="0" fontId="24" fillId="17" borderId="24" xfId="0" applyFont="1" applyFill="1" applyBorder="1" applyAlignment="1">
      <alignment horizontal="left" vertical="top" wrapText="1"/>
    </xf>
    <xf numFmtId="0" fontId="24" fillId="17" borderId="25" xfId="0" applyFont="1" applyFill="1" applyBorder="1" applyAlignment="1">
      <alignment horizontal="left" vertical="center"/>
    </xf>
    <xf numFmtId="0" fontId="24" fillId="17" borderId="20" xfId="0" applyFont="1" applyFill="1" applyBorder="1" applyAlignment="1">
      <alignment horizontal="left" vertical="top" wrapText="1"/>
    </xf>
    <xf numFmtId="0" fontId="24" fillId="18" borderId="24" xfId="0" applyFont="1" applyFill="1" applyBorder="1" applyAlignment="1">
      <alignment horizontal="left" vertical="top" wrapText="1"/>
    </xf>
    <xf numFmtId="0" fontId="24" fillId="18" borderId="25" xfId="0" applyFont="1" applyFill="1" applyBorder="1" applyAlignment="1">
      <alignment horizontal="left" vertical="center"/>
    </xf>
    <xf numFmtId="0" fontId="24" fillId="18" borderId="20" xfId="0" applyFont="1" applyFill="1" applyBorder="1" applyAlignment="1">
      <alignment horizontal="left" vertical="top" wrapText="1"/>
    </xf>
    <xf numFmtId="0" fontId="24" fillId="19" borderId="24" xfId="0" applyFont="1" applyFill="1" applyBorder="1" applyAlignment="1">
      <alignment horizontal="left" vertical="top" wrapText="1"/>
    </xf>
    <xf numFmtId="0" fontId="24" fillId="19" borderId="25" xfId="0" applyFont="1" applyFill="1" applyBorder="1" applyAlignment="1">
      <alignment horizontal="left" vertical="center"/>
    </xf>
    <xf numFmtId="0" fontId="24" fillId="19" borderId="20" xfId="0" applyFont="1" applyFill="1" applyBorder="1" applyAlignment="1">
      <alignment horizontal="left" vertical="top" wrapText="1"/>
    </xf>
    <xf numFmtId="0" fontId="24" fillId="20" borderId="24" xfId="0" applyFont="1" applyFill="1" applyBorder="1" applyAlignment="1">
      <alignment horizontal="left" vertical="top" wrapText="1"/>
    </xf>
    <xf numFmtId="0" fontId="24" fillId="20" borderId="25" xfId="0" applyFont="1" applyFill="1" applyBorder="1" applyAlignment="1">
      <alignment horizontal="left" vertical="center"/>
    </xf>
    <xf numFmtId="0" fontId="24" fillId="20" borderId="20" xfId="0" applyFont="1" applyFill="1" applyBorder="1" applyAlignment="1">
      <alignment horizontal="left" vertical="top" wrapText="1"/>
    </xf>
    <xf numFmtId="0" fontId="24" fillId="21" borderId="24" xfId="0" applyFont="1" applyFill="1" applyBorder="1" applyAlignment="1">
      <alignment horizontal="left" vertical="top" wrapText="1"/>
    </xf>
    <xf numFmtId="0" fontId="24" fillId="21" borderId="25" xfId="0" applyFont="1" applyFill="1" applyBorder="1" applyAlignment="1">
      <alignment horizontal="left" vertical="center"/>
    </xf>
    <xf numFmtId="0" fontId="24" fillId="21" borderId="20" xfId="0" applyFont="1" applyFill="1" applyBorder="1" applyAlignment="1">
      <alignment horizontal="left" vertical="top" wrapText="1"/>
    </xf>
    <xf numFmtId="0" fontId="24" fillId="0" borderId="27" xfId="0" applyFont="1" applyBorder="1" applyAlignment="1">
      <alignment horizontal="left" vertical="center"/>
    </xf>
    <xf numFmtId="0" fontId="24" fillId="19" borderId="0" xfId="0" applyFont="1" applyFill="1" applyAlignment="1">
      <alignment vertical="top" wrapText="1"/>
    </xf>
    <xf numFmtId="0" fontId="24" fillId="21" borderId="0" xfId="0" applyFont="1" applyFill="1" applyAlignment="1">
      <alignment vertical="top" wrapText="1"/>
    </xf>
    <xf numFmtId="0" fontId="24" fillId="18" borderId="0" xfId="0" applyFont="1" applyFill="1" applyAlignment="1">
      <alignment vertical="top" wrapText="1"/>
    </xf>
    <xf numFmtId="0" fontId="24" fillId="18" borderId="24" xfId="0" applyFont="1" applyFill="1" applyBorder="1" applyAlignment="1">
      <alignment horizontal="center" vertical="center" wrapText="1"/>
    </xf>
    <xf numFmtId="0" fontId="24" fillId="15" borderId="0" xfId="0" applyFont="1" applyFill="1" applyAlignment="1">
      <alignment vertical="top" wrapText="1"/>
    </xf>
    <xf numFmtId="0" fontId="24" fillId="14" borderId="24" xfId="0" applyFont="1" applyFill="1" applyBorder="1" applyAlignment="1">
      <alignment horizontal="left" vertical="center"/>
    </xf>
    <xf numFmtId="0" fontId="24" fillId="19" borderId="24" xfId="0" applyFont="1" applyFill="1" applyBorder="1" applyAlignment="1">
      <alignment horizontal="center" vertical="center" wrapText="1"/>
    </xf>
    <xf numFmtId="0" fontId="24" fillId="14" borderId="24" xfId="0" applyFont="1" applyFill="1" applyBorder="1" applyAlignment="1">
      <alignment horizontal="left" vertical="top"/>
    </xf>
    <xf numFmtId="0" fontId="24" fillId="19" borderId="24" xfId="0" applyFont="1" applyFill="1" applyBorder="1" applyAlignment="1">
      <alignment horizontal="left" vertical="top"/>
    </xf>
    <xf numFmtId="0" fontId="24" fillId="15" borderId="24" xfId="0" applyFont="1" applyFill="1" applyBorder="1" applyAlignment="1">
      <alignment horizontal="left" vertical="top"/>
    </xf>
    <xf numFmtId="0" fontId="24" fillId="16" borderId="24" xfId="0" applyFont="1" applyFill="1" applyBorder="1" applyAlignment="1">
      <alignment horizontal="left" vertical="top"/>
    </xf>
    <xf numFmtId="0" fontId="24" fillId="18" borderId="24" xfId="0" applyFont="1" applyFill="1" applyBorder="1" applyAlignment="1">
      <alignment horizontal="left" vertical="top"/>
    </xf>
    <xf numFmtId="0" fontId="24" fillId="21" borderId="24" xfId="0" applyFont="1" applyFill="1" applyBorder="1" applyAlignment="1">
      <alignment horizontal="left" vertical="top"/>
    </xf>
    <xf numFmtId="0" fontId="24" fillId="14" borderId="24" xfId="0" applyFont="1" applyFill="1" applyBorder="1" applyAlignment="1">
      <alignment horizontal="left" vertical="center" wrapText="1"/>
    </xf>
    <xf numFmtId="0" fontId="24" fillId="20" borderId="24" xfId="0" applyFont="1" applyFill="1" applyBorder="1" applyAlignment="1">
      <alignment horizontal="left" vertical="top"/>
    </xf>
    <xf numFmtId="0" fontId="24" fillId="17" borderId="24" xfId="0" applyFont="1" applyFill="1" applyBorder="1" applyAlignment="1">
      <alignment horizontal="left" vertical="top"/>
    </xf>
    <xf numFmtId="0" fontId="24" fillId="0" borderId="24" xfId="0" applyFont="1" applyBorder="1" applyAlignment="1"/>
    <xf numFmtId="0" fontId="24" fillId="0" borderId="0" xfId="0" applyFont="1" applyAlignment="1"/>
    <xf numFmtId="0" fontId="24" fillId="0" borderId="24" xfId="0" applyFont="1" applyBorder="1" applyAlignment="1">
      <alignment horizontal="center" vertical="center"/>
    </xf>
    <xf numFmtId="0" fontId="24" fillId="0" borderId="24" xfId="0" applyFont="1" applyBorder="1" applyAlignment="1">
      <alignment horizontal="center" vertical="top" wrapText="1"/>
    </xf>
    <xf numFmtId="0" fontId="24" fillId="0" borderId="5" xfId="0" applyFont="1" applyBorder="1" applyAlignment="1">
      <alignment horizontal="center" vertical="center"/>
    </xf>
    <xf numFmtId="0" fontId="24" fillId="0" borderId="20" xfId="0" applyFont="1" applyBorder="1" applyAlignment="1">
      <alignment horizontal="left" vertical="top" wrapText="1"/>
    </xf>
    <xf numFmtId="0" fontId="1" fillId="9" borderId="0" xfId="0" applyFont="1" applyFill="1" applyAlignment="1">
      <alignment horizontal="center" vertical="center"/>
    </xf>
    <xf numFmtId="0" fontId="1" fillId="9" borderId="0" xfId="0" applyFont="1" applyFill="1" applyAlignment="1">
      <alignment horizontal="center" vertical="center" wrapText="1"/>
    </xf>
    <xf numFmtId="1" fontId="1" fillId="9" borderId="0" xfId="0" applyNumberFormat="1" applyFont="1" applyFill="1" applyAlignment="1">
      <alignment horizontal="center" vertical="center" wrapText="1"/>
    </xf>
    <xf numFmtId="1" fontId="1" fillId="9" borderId="0" xfId="0" applyNumberFormat="1" applyFont="1" applyFill="1" applyAlignment="1">
      <alignment horizontal="center" vertical="center"/>
    </xf>
    <xf numFmtId="1" fontId="28" fillId="4" borderId="30" xfId="0" applyNumberFormat="1" applyFont="1" applyFill="1" applyBorder="1" applyAlignment="1">
      <alignment horizontal="center" vertical="center" wrapText="1"/>
    </xf>
    <xf numFmtId="1" fontId="2" fillId="4" borderId="31" xfId="0" applyNumberFormat="1" applyFont="1" applyFill="1" applyBorder="1" applyAlignment="1">
      <alignment horizontal="center" vertical="center" wrapText="1"/>
    </xf>
    <xf numFmtId="0" fontId="28" fillId="4" borderId="31" xfId="0" applyFont="1" applyFill="1" applyBorder="1" applyAlignment="1" applyProtection="1">
      <alignment horizontal="center" vertical="center"/>
      <protection locked="0"/>
    </xf>
    <xf numFmtId="1" fontId="2" fillId="4" borderId="32" xfId="0" applyNumberFormat="1" applyFont="1" applyFill="1" applyBorder="1" applyAlignment="1">
      <alignment horizontal="center" vertical="center" wrapText="1"/>
    </xf>
    <xf numFmtId="1" fontId="2" fillId="4" borderId="30" xfId="0" applyNumberFormat="1" applyFont="1" applyFill="1" applyBorder="1" applyAlignment="1">
      <alignment horizontal="center" vertical="center" wrapText="1"/>
    </xf>
    <xf numFmtId="1" fontId="28" fillId="4" borderId="9" xfId="0" applyNumberFormat="1" applyFont="1" applyFill="1" applyBorder="1" applyAlignment="1">
      <alignment horizontal="center" vertical="center" wrapText="1"/>
    </xf>
    <xf numFmtId="0" fontId="1" fillId="9" borderId="0" xfId="2" applyFont="1" applyFill="1" applyAlignment="1">
      <alignment horizontal="center" vertical="center" wrapText="1"/>
    </xf>
    <xf numFmtId="0" fontId="30" fillId="9" borderId="0" xfId="2" applyFont="1" applyFill="1" applyAlignment="1">
      <alignment horizontal="center" vertical="center"/>
    </xf>
    <xf numFmtId="49" fontId="31" fillId="4" borderId="23" xfId="2" applyNumberFormat="1" applyFont="1" applyFill="1" applyBorder="1" applyAlignment="1">
      <alignment horizontal="center" vertical="center"/>
    </xf>
    <xf numFmtId="49" fontId="31" fillId="13" borderId="23" xfId="2" applyNumberFormat="1" applyFont="1" applyFill="1" applyBorder="1" applyAlignment="1">
      <alignment horizontal="center" vertical="center"/>
    </xf>
    <xf numFmtId="0" fontId="16" fillId="9" borderId="0" xfId="2" applyFill="1">
      <alignment vertical="center"/>
    </xf>
    <xf numFmtId="0" fontId="3" fillId="9" borderId="0" xfId="2" applyFont="1" applyFill="1" applyAlignment="1">
      <alignment horizontal="center" vertical="center" wrapText="1"/>
    </xf>
    <xf numFmtId="0" fontId="22" fillId="9" borderId="0" xfId="0" applyFont="1" applyFill="1" applyAlignment="1">
      <alignment horizontal="left"/>
    </xf>
    <xf numFmtId="0" fontId="3" fillId="9" borderId="0" xfId="0" applyFont="1" applyFill="1">
      <alignment vertical="center"/>
    </xf>
    <xf numFmtId="0" fontId="3" fillId="12" borderId="5" xfId="0" applyFont="1" applyFill="1" applyBorder="1" applyAlignment="1" applyProtection="1">
      <alignment horizontal="center" vertical="center" wrapText="1"/>
      <protection locked="0"/>
    </xf>
    <xf numFmtId="0" fontId="3" fillId="0" borderId="7" xfId="0" applyFont="1" applyBorder="1" applyAlignment="1">
      <alignment horizontal="center" vertical="center"/>
    </xf>
    <xf numFmtId="0" fontId="22" fillId="9" borderId="0" xfId="0" applyFont="1" applyFill="1" applyAlignment="1">
      <alignment horizontal="center" wrapText="1"/>
    </xf>
    <xf numFmtId="0" fontId="28" fillId="9" borderId="0" xfId="0" applyFont="1" applyFill="1" applyAlignment="1">
      <alignment horizontal="center" vertical="center"/>
    </xf>
    <xf numFmtId="0" fontId="40" fillId="9" borderId="0" xfId="0" applyFont="1" applyFill="1" applyAlignment="1">
      <alignment horizontal="center" vertical="center" wrapText="1"/>
    </xf>
    <xf numFmtId="0" fontId="41" fillId="9" borderId="0" xfId="0" applyFont="1" applyFill="1" applyAlignment="1">
      <alignment horizontal="center" vertical="center" wrapText="1"/>
    </xf>
    <xf numFmtId="0" fontId="42" fillId="9" borderId="0" xfId="0" applyFont="1" applyFill="1" applyAlignment="1">
      <alignment vertical="center" wrapText="1"/>
    </xf>
    <xf numFmtId="0" fontId="44" fillId="9" borderId="0" xfId="0" applyFont="1" applyFill="1" applyAlignment="1">
      <alignment horizontal="center" vertical="center" wrapText="1"/>
    </xf>
    <xf numFmtId="0" fontId="22" fillId="9" borderId="0" xfId="0" applyFont="1" applyFill="1" applyAlignment="1">
      <alignment horizontal="left" wrapText="1"/>
    </xf>
    <xf numFmtId="0" fontId="16" fillId="0" borderId="0" xfId="0" applyFont="1" applyAlignment="1">
      <alignment horizontal="center" vertical="top" wrapText="1"/>
    </xf>
    <xf numFmtId="0" fontId="16" fillId="0" borderId="1" xfId="0" applyFont="1" applyBorder="1" applyAlignment="1">
      <alignment horizontal="center" vertical="top" wrapText="1"/>
    </xf>
    <xf numFmtId="0" fontId="16" fillId="0" borderId="10" xfId="0" applyFont="1" applyBorder="1" applyAlignment="1">
      <alignment horizontal="center" vertical="top" wrapText="1"/>
    </xf>
    <xf numFmtId="0" fontId="16" fillId="0" borderId="20" xfId="0" applyFont="1" applyBorder="1" applyAlignment="1">
      <alignment horizontal="center" vertical="top" wrapText="1"/>
    </xf>
    <xf numFmtId="0" fontId="0" fillId="0" borderId="0" xfId="0" applyAlignment="1">
      <alignment horizontal="center" vertical="top" wrapText="1"/>
    </xf>
    <xf numFmtId="0" fontId="46" fillId="0" borderId="0" xfId="1" applyAlignment="1">
      <alignment horizontal="center" vertical="top" wrapText="1"/>
    </xf>
    <xf numFmtId="0" fontId="0" fillId="0" borderId="0" xfId="0" applyAlignment="1">
      <alignment horizontal="center" vertical="top"/>
    </xf>
    <xf numFmtId="0" fontId="0" fillId="0" borderId="36" xfId="0" applyBorder="1" applyAlignment="1">
      <alignment horizontal="center" vertical="top" wrapText="1"/>
    </xf>
    <xf numFmtId="0" fontId="46" fillId="0" borderId="36" xfId="1" applyBorder="1" applyAlignment="1">
      <alignment horizontal="center" vertical="top" wrapText="1"/>
    </xf>
    <xf numFmtId="0" fontId="46" fillId="0" borderId="0" xfId="1" applyAlignment="1">
      <alignment horizontal="center" vertical="top"/>
    </xf>
    <xf numFmtId="0" fontId="47" fillId="0" borderId="0" xfId="1" applyFont="1" applyAlignment="1">
      <alignment horizontal="center" vertical="top" wrapText="1"/>
    </xf>
    <xf numFmtId="0" fontId="46" fillId="0" borderId="37" xfId="1" applyBorder="1" applyAlignment="1">
      <alignment horizontal="center" vertical="top" wrapText="1"/>
    </xf>
    <xf numFmtId="0" fontId="0" fillId="0" borderId="38" xfId="0" applyBorder="1" applyAlignment="1">
      <alignment horizontal="center" vertical="top" wrapText="1"/>
    </xf>
    <xf numFmtId="0" fontId="16" fillId="0" borderId="37" xfId="0" applyFont="1" applyBorder="1" applyAlignment="1">
      <alignment horizontal="center" vertical="top" wrapText="1"/>
    </xf>
    <xf numFmtId="0" fontId="46" fillId="0" borderId="39" xfId="1" applyBorder="1" applyAlignment="1">
      <alignment horizontal="center" vertical="top" wrapText="1"/>
    </xf>
    <xf numFmtId="0" fontId="0" fillId="0" borderId="40" xfId="0" applyBorder="1" applyAlignment="1">
      <alignment horizontal="center" vertical="top" wrapText="1"/>
    </xf>
    <xf numFmtId="0" fontId="48" fillId="0" borderId="0" xfId="0" applyFont="1" applyAlignment="1">
      <alignment horizontal="center" vertical="top"/>
    </xf>
    <xf numFmtId="0" fontId="48" fillId="0" borderId="40" xfId="0" applyFont="1" applyBorder="1" applyAlignment="1">
      <alignment horizontal="center" vertical="top" wrapText="1"/>
    </xf>
    <xf numFmtId="0" fontId="48" fillId="0" borderId="0" xfId="0" applyFont="1" applyAlignment="1">
      <alignment horizontal="center" vertical="top" wrapText="1"/>
    </xf>
    <xf numFmtId="0" fontId="46" fillId="0" borderId="42" xfId="1" applyBorder="1" applyAlignment="1">
      <alignment horizontal="center" vertical="top" wrapText="1"/>
    </xf>
    <xf numFmtId="0" fontId="0" fillId="0" borderId="43" xfId="0" applyBorder="1" applyAlignment="1">
      <alignment horizontal="center" vertical="top" wrapText="1"/>
    </xf>
    <xf numFmtId="0" fontId="0" fillId="0" borderId="41" xfId="0" applyBorder="1" applyAlignment="1">
      <alignment horizontal="center" vertical="top" wrapText="1"/>
    </xf>
    <xf numFmtId="0" fontId="0" fillId="0" borderId="44" xfId="0" applyBorder="1" applyAlignment="1">
      <alignment horizontal="center" vertical="top" wrapText="1"/>
    </xf>
    <xf numFmtId="0" fontId="49" fillId="0" borderId="37" xfId="1" applyFont="1" applyBorder="1" applyAlignment="1">
      <alignment horizontal="center" vertical="top" wrapText="1"/>
    </xf>
    <xf numFmtId="0" fontId="0" fillId="0" borderId="37" xfId="0" applyBorder="1" applyAlignment="1">
      <alignment horizontal="center" vertical="top" wrapText="1"/>
    </xf>
    <xf numFmtId="0" fontId="0" fillId="0" borderId="39" xfId="0" applyBorder="1" applyAlignment="1">
      <alignment horizontal="center" vertical="top" wrapText="1"/>
    </xf>
    <xf numFmtId="0" fontId="0" fillId="0" borderId="45" xfId="0" applyBorder="1" applyAlignment="1">
      <alignment horizontal="center" vertical="top" wrapText="1"/>
    </xf>
    <xf numFmtId="0" fontId="0" fillId="0" borderId="46" xfId="0" applyBorder="1" applyAlignment="1">
      <alignment horizontal="center" vertical="top" wrapText="1"/>
    </xf>
    <xf numFmtId="0" fontId="46" fillId="0" borderId="41" xfId="1" applyBorder="1" applyAlignment="1">
      <alignment horizontal="center" vertical="top" wrapText="1"/>
    </xf>
    <xf numFmtId="0" fontId="46" fillId="0" borderId="40" xfId="1" applyBorder="1" applyAlignment="1">
      <alignment horizontal="center" vertical="top" wrapText="1"/>
    </xf>
    <xf numFmtId="0" fontId="46" fillId="0" borderId="45" xfId="1" applyBorder="1" applyAlignment="1">
      <alignment horizontal="center" vertical="top" wrapText="1"/>
    </xf>
    <xf numFmtId="58" fontId="46" fillId="0" borderId="0" xfId="1" applyNumberFormat="1" applyAlignment="1">
      <alignment horizontal="center" vertical="top" wrapText="1"/>
    </xf>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41" fillId="0" borderId="5" xfId="0" applyFont="1" applyBorder="1" applyAlignment="1">
      <alignment vertical="top"/>
    </xf>
    <xf numFmtId="0" fontId="41" fillId="0" borderId="19" xfId="0" applyFont="1" applyBorder="1" applyAlignment="1">
      <alignment vertical="top"/>
    </xf>
    <xf numFmtId="0" fontId="41" fillId="0" borderId="0" xfId="0" applyFont="1" applyAlignment="1">
      <alignment vertical="top"/>
    </xf>
    <xf numFmtId="0" fontId="41" fillId="0" borderId="5" xfId="0" applyFont="1" applyBorder="1" applyAlignment="1">
      <alignment horizontal="center" vertical="top"/>
    </xf>
    <xf numFmtId="0" fontId="41" fillId="0" borderId="5" xfId="0" applyFont="1" applyBorder="1" applyAlignment="1">
      <alignment horizontal="right" vertical="top"/>
    </xf>
    <xf numFmtId="0" fontId="41" fillId="0" borderId="3" xfId="0" applyFont="1" applyBorder="1" applyAlignment="1">
      <alignment vertical="top"/>
    </xf>
    <xf numFmtId="0" fontId="51" fillId="0" borderId="0" xfId="0" applyFont="1" applyAlignment="1">
      <alignment horizontal="center" vertical="center" wrapText="1"/>
    </xf>
    <xf numFmtId="0" fontId="51" fillId="0" borderId="0" xfId="0" applyFont="1" applyAlignment="1">
      <alignment horizontal="justify" vertical="top" wrapText="1"/>
    </xf>
    <xf numFmtId="0" fontId="16" fillId="13" borderId="0" xfId="0" applyFont="1" applyFill="1" applyAlignment="1">
      <alignment horizontal="center" vertical="top" wrapText="1"/>
    </xf>
    <xf numFmtId="0" fontId="16" fillId="29" borderId="0" xfId="0" applyFont="1" applyFill="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41" fillId="13" borderId="0" xfId="0" applyFont="1" applyFill="1" applyAlignment="1">
      <alignment horizontal="center" vertical="top"/>
    </xf>
    <xf numFmtId="0" fontId="41" fillId="0" borderId="0" xfId="0" applyFont="1" applyAlignment="1">
      <alignment horizontal="center" vertical="top" wrapText="1"/>
    </xf>
    <xf numFmtId="0" fontId="41" fillId="13" borderId="0" xfId="0" applyFont="1" applyFill="1" applyAlignment="1">
      <alignment horizontal="center" vertical="top" wrapText="1"/>
    </xf>
    <xf numFmtId="0" fontId="3" fillId="0" borderId="5" xfId="0" applyFont="1" applyBorder="1" applyAlignment="1">
      <alignment horizontal="center" vertical="top"/>
    </xf>
    <xf numFmtId="0" fontId="41" fillId="0" borderId="5" xfId="0" applyFont="1" applyBorder="1" applyAlignment="1">
      <alignment horizontal="center" vertical="top" wrapText="1"/>
    </xf>
    <xf numFmtId="0" fontId="37" fillId="0" borderId="0" xfId="0" applyFont="1" applyAlignment="1">
      <alignment horizontal="center" vertical="top" wrapText="1"/>
    </xf>
    <xf numFmtId="0" fontId="37" fillId="4" borderId="0" xfId="0" applyFont="1" applyFill="1" applyAlignment="1">
      <alignment horizontal="center" vertical="top" wrapText="1"/>
    </xf>
    <xf numFmtId="0" fontId="37" fillId="0" borderId="23" xfId="0" applyFont="1" applyBorder="1" applyAlignment="1">
      <alignment horizontal="center" vertical="top" wrapText="1"/>
    </xf>
    <xf numFmtId="0" fontId="37" fillId="0" borderId="23" xfId="0" applyFont="1" applyBorder="1" applyAlignment="1">
      <alignment horizontal="center" vertical="center" wrapText="1"/>
    </xf>
    <xf numFmtId="0" fontId="52" fillId="0" borderId="23" xfId="0" applyFont="1" applyBorder="1" applyAlignment="1">
      <alignment horizontal="center" vertical="center" wrapText="1"/>
    </xf>
    <xf numFmtId="0" fontId="37" fillId="0" borderId="38" xfId="0" applyFont="1" applyBorder="1" applyAlignment="1">
      <alignment horizontal="center" vertical="top" wrapText="1"/>
    </xf>
    <xf numFmtId="0" fontId="37" fillId="30" borderId="0" xfId="0" applyFont="1" applyFill="1" applyAlignment="1">
      <alignment horizontal="center" vertical="top" wrapText="1"/>
    </xf>
    <xf numFmtId="0" fontId="37" fillId="30" borderId="50" xfId="0" applyFont="1" applyFill="1" applyBorder="1" applyAlignment="1">
      <alignment horizontal="center" vertical="top" wrapText="1"/>
    </xf>
    <xf numFmtId="0" fontId="37" fillId="0" borderId="51" xfId="0" applyFont="1" applyBorder="1" applyAlignment="1">
      <alignment horizontal="center" vertical="top" wrapText="1"/>
    </xf>
    <xf numFmtId="0" fontId="37" fillId="0" borderId="37" xfId="0" applyFont="1" applyBorder="1" applyAlignment="1">
      <alignment horizontal="center" vertical="top" wrapText="1"/>
    </xf>
    <xf numFmtId="0" fontId="37" fillId="0" borderId="52" xfId="0" applyFont="1" applyBorder="1" applyAlignment="1">
      <alignment horizontal="center" vertical="top" wrapText="1"/>
    </xf>
    <xf numFmtId="0" fontId="37" fillId="0" borderId="50" xfId="0" applyFont="1" applyBorder="1" applyAlignment="1">
      <alignment horizontal="center" vertical="top" wrapText="1"/>
    </xf>
    <xf numFmtId="0" fontId="37" fillId="31" borderId="0" xfId="0" applyFont="1" applyFill="1" applyAlignment="1">
      <alignment horizontal="center" vertical="top" wrapText="1"/>
    </xf>
    <xf numFmtId="0" fontId="37" fillId="31" borderId="50" xfId="0" applyFont="1" applyFill="1" applyBorder="1" applyAlignment="1">
      <alignment horizontal="center" vertical="top" wrapText="1"/>
    </xf>
    <xf numFmtId="0" fontId="37" fillId="32" borderId="0" xfId="0" applyFont="1" applyFill="1" applyAlignment="1">
      <alignment horizontal="center" vertical="top" wrapText="1"/>
    </xf>
    <xf numFmtId="0" fontId="37" fillId="32" borderId="50" xfId="0" applyFont="1" applyFill="1" applyBorder="1" applyAlignment="1">
      <alignment horizontal="center" vertical="top" wrapText="1"/>
    </xf>
    <xf numFmtId="0" fontId="37" fillId="0" borderId="5" xfId="0" applyFont="1" applyBorder="1" applyAlignment="1">
      <alignment horizontal="center" vertical="top" wrapText="1"/>
    </xf>
    <xf numFmtId="0" fontId="48" fillId="0" borderId="36" xfId="0" applyFont="1" applyBorder="1" applyAlignment="1">
      <alignment horizontal="center" vertical="top" wrapText="1"/>
    </xf>
    <xf numFmtId="0" fontId="48" fillId="0" borderId="42" xfId="0" applyFont="1" applyBorder="1" applyAlignment="1">
      <alignment horizontal="center" vertical="top" wrapText="1"/>
    </xf>
    <xf numFmtId="0" fontId="48" fillId="0" borderId="38" xfId="0" applyFont="1" applyBorder="1" applyAlignment="1">
      <alignment horizontal="center" vertical="top" wrapText="1"/>
    </xf>
    <xf numFmtId="0" fontId="48" fillId="0" borderId="41" xfId="0" applyFont="1" applyBorder="1" applyAlignment="1">
      <alignment horizontal="center" vertical="top" wrapText="1"/>
    </xf>
    <xf numFmtId="0" fontId="48" fillId="0" borderId="37" xfId="0" applyFont="1" applyBorder="1" applyAlignment="1">
      <alignment horizontal="center" vertical="top" wrapText="1"/>
    </xf>
    <xf numFmtId="0" fontId="48" fillId="0" borderId="45" xfId="0" applyFont="1" applyBorder="1" applyAlignment="1">
      <alignment horizontal="center" vertical="top" wrapText="1"/>
    </xf>
    <xf numFmtId="0" fontId="53" fillId="0" borderId="0" xfId="0" applyFont="1" applyAlignment="1">
      <alignment horizontal="center" vertical="top" wrapText="1"/>
    </xf>
    <xf numFmtId="0" fontId="48" fillId="0" borderId="39" xfId="0" applyFont="1" applyBorder="1" applyAlignment="1">
      <alignment horizontal="center" vertical="top" wrapText="1"/>
    </xf>
    <xf numFmtId="0" fontId="54" fillId="0" borderId="3" xfId="0" applyFont="1" applyBorder="1" applyAlignment="1">
      <alignment horizontal="center" vertical="top" wrapText="1"/>
    </xf>
    <xf numFmtId="0" fontId="54" fillId="0" borderId="8" xfId="0" applyFont="1" applyBorder="1" applyAlignment="1">
      <alignment horizontal="center" vertical="top" wrapText="1"/>
    </xf>
    <xf numFmtId="0" fontId="37" fillId="0" borderId="20" xfId="0" applyFont="1" applyBorder="1" applyAlignment="1">
      <alignment horizontal="center" vertical="top" wrapText="1"/>
    </xf>
    <xf numFmtId="0" fontId="37" fillId="0" borderId="4" xfId="0" applyFont="1" applyBorder="1" applyAlignment="1">
      <alignment horizontal="center" vertical="top" wrapText="1"/>
    </xf>
    <xf numFmtId="0" fontId="37" fillId="0" borderId="10" xfId="0" applyFont="1" applyBorder="1" applyAlignment="1">
      <alignment horizontal="center" vertical="top" wrapText="1"/>
    </xf>
    <xf numFmtId="0" fontId="9" fillId="0" borderId="41" xfId="0" applyFont="1" applyBorder="1" applyAlignment="1">
      <alignment horizontal="center" vertical="top" wrapText="1"/>
    </xf>
    <xf numFmtId="0" fontId="37" fillId="0" borderId="41" xfId="0" applyFont="1" applyBorder="1" applyAlignment="1">
      <alignment horizontal="center" vertical="top" wrapText="1"/>
    </xf>
    <xf numFmtId="0" fontId="55" fillId="33" borderId="41" xfId="0" applyFont="1" applyFill="1" applyBorder="1" applyAlignment="1">
      <alignment horizontal="center" vertical="top" wrapText="1"/>
    </xf>
    <xf numFmtId="0" fontId="37" fillId="0" borderId="2" xfId="0" applyFont="1" applyBorder="1" applyAlignment="1">
      <alignment horizontal="center" vertical="top" wrapText="1"/>
    </xf>
    <xf numFmtId="0" fontId="37" fillId="0" borderId="8" xfId="0" applyFont="1" applyBorder="1" applyAlignment="1">
      <alignment horizontal="center" vertical="top" wrapText="1"/>
    </xf>
    <xf numFmtId="0" fontId="37" fillId="0" borderId="19" xfId="0" applyFont="1" applyBorder="1" applyAlignment="1">
      <alignment horizontal="center" vertical="top" wrapText="1"/>
    </xf>
    <xf numFmtId="0" fontId="37" fillId="0" borderId="3" xfId="0" applyFont="1" applyBorder="1" applyAlignment="1">
      <alignment horizontal="center" vertical="top" wrapText="1"/>
    </xf>
    <xf numFmtId="0" fontId="37" fillId="0" borderId="1" xfId="0" applyFont="1" applyBorder="1" applyAlignment="1">
      <alignment horizontal="center" vertical="top" wrapText="1"/>
    </xf>
    <xf numFmtId="0" fontId="9" fillId="0" borderId="0" xfId="0" applyFont="1" applyAlignment="1">
      <alignment horizontal="center" vertical="top" wrapText="1"/>
    </xf>
    <xf numFmtId="0" fontId="55" fillId="33" borderId="0" xfId="0" applyFont="1" applyFill="1" applyAlignment="1">
      <alignment horizontal="center" vertical="top" wrapText="1"/>
    </xf>
    <xf numFmtId="0" fontId="37" fillId="0" borderId="36" xfId="0" applyFont="1" applyBorder="1" applyAlignment="1">
      <alignment horizontal="center" vertical="top" wrapText="1"/>
    </xf>
    <xf numFmtId="0" fontId="13" fillId="0" borderId="0" xfId="0" applyFont="1" applyAlignment="1">
      <alignment horizontal="center" vertical="top" wrapText="1"/>
    </xf>
    <xf numFmtId="0" fontId="56" fillId="0" borderId="41" xfId="0" applyFont="1" applyBorder="1" applyAlignment="1">
      <alignment horizontal="center" vertical="top" wrapText="1"/>
    </xf>
    <xf numFmtId="0" fontId="37" fillId="0" borderId="42" xfId="0" applyFont="1" applyBorder="1" applyAlignment="1">
      <alignment horizontal="center" vertical="top" wrapText="1"/>
    </xf>
    <xf numFmtId="0" fontId="37" fillId="0" borderId="53" xfId="0" applyFont="1" applyBorder="1" applyAlignment="1">
      <alignment horizontal="center" vertical="top" wrapText="1"/>
    </xf>
    <xf numFmtId="0" fontId="16" fillId="0" borderId="37" xfId="0" applyFont="1" applyBorder="1" applyAlignment="1">
      <alignment horizontal="center" vertical="center" wrapText="1"/>
    </xf>
    <xf numFmtId="0" fontId="16" fillId="0" borderId="41" xfId="0" applyFont="1" applyBorder="1" applyAlignment="1">
      <alignment horizontal="center" vertical="center" wrapText="1"/>
    </xf>
    <xf numFmtId="0" fontId="37" fillId="0" borderId="11" xfId="0" applyFont="1" applyBorder="1" applyAlignment="1">
      <alignment horizontal="center" vertical="top" wrapText="1"/>
    </xf>
    <xf numFmtId="0" fontId="16" fillId="0" borderId="39" xfId="0" applyFont="1" applyBorder="1" applyAlignment="1">
      <alignment horizontal="center" vertical="center" wrapText="1"/>
    </xf>
    <xf numFmtId="0" fontId="16" fillId="0" borderId="45" xfId="0" applyFont="1" applyBorder="1" applyAlignment="1">
      <alignment horizontal="center" vertical="center" wrapText="1"/>
    </xf>
    <xf numFmtId="0" fontId="37" fillId="0" borderId="39" xfId="0" applyFont="1" applyBorder="1" applyAlignment="1">
      <alignment horizontal="center" vertical="top" wrapText="1"/>
    </xf>
    <xf numFmtId="0" fontId="37" fillId="0" borderId="40" xfId="0" applyFont="1" applyBorder="1" applyAlignment="1">
      <alignment horizontal="center" vertical="top" wrapText="1"/>
    </xf>
    <xf numFmtId="0" fontId="37" fillId="0" borderId="45" xfId="0" applyFont="1" applyBorder="1" applyAlignment="1">
      <alignment horizontal="center" vertical="top" wrapText="1"/>
    </xf>
    <xf numFmtId="0" fontId="52" fillId="0" borderId="0" xfId="0" applyFont="1" applyAlignment="1">
      <alignment horizontal="center" vertical="top" wrapText="1"/>
    </xf>
    <xf numFmtId="0" fontId="16" fillId="13" borderId="20" xfId="0" applyFont="1" applyFill="1" applyBorder="1" applyAlignment="1">
      <alignment horizontal="center" vertical="top" wrapText="1"/>
    </xf>
    <xf numFmtId="0" fontId="37" fillId="32" borderId="3" xfId="0" applyFont="1" applyFill="1" applyBorder="1" applyAlignment="1">
      <alignment horizontal="center" vertical="top" wrapText="1"/>
    </xf>
    <xf numFmtId="0" fontId="16" fillId="4" borderId="20" xfId="0" applyFont="1" applyFill="1" applyBorder="1" applyAlignment="1">
      <alignment horizontal="center" vertical="top" wrapText="1"/>
    </xf>
    <xf numFmtId="0" fontId="16" fillId="4" borderId="0" xfId="0" applyFont="1" applyFill="1" applyAlignment="1">
      <alignment horizontal="center" vertical="top" wrapText="1"/>
    </xf>
    <xf numFmtId="0" fontId="16" fillId="32" borderId="0" xfId="0" applyFont="1" applyFill="1" applyAlignment="1">
      <alignment horizontal="center" vertical="top" wrapText="1"/>
    </xf>
    <xf numFmtId="0" fontId="16" fillId="25" borderId="20" xfId="0" applyFont="1" applyFill="1" applyBorder="1" applyAlignment="1">
      <alignment horizontal="center" vertical="top" wrapText="1"/>
    </xf>
    <xf numFmtId="0" fontId="16" fillId="25" borderId="0" xfId="0" applyFont="1" applyFill="1" applyAlignment="1">
      <alignment horizontal="center" vertical="top" wrapText="1"/>
    </xf>
    <xf numFmtId="0" fontId="57" fillId="0" borderId="0" xfId="0" applyFont="1" applyAlignment="1">
      <alignment horizontal="center" vertical="top"/>
    </xf>
    <xf numFmtId="0" fontId="56" fillId="0" borderId="0" xfId="0" applyFont="1" applyAlignment="1">
      <alignment horizontal="center" vertical="top"/>
    </xf>
    <xf numFmtId="0" fontId="56" fillId="0" borderId="20" xfId="0" applyFont="1" applyBorder="1" applyAlignment="1">
      <alignment horizontal="center" vertical="top"/>
    </xf>
    <xf numFmtId="0" fontId="56" fillId="0" borderId="41" xfId="0" applyFont="1" applyBorder="1" applyAlignment="1">
      <alignment horizontal="center" vertical="top"/>
    </xf>
    <xf numFmtId="0" fontId="56" fillId="0" borderId="54" xfId="0" applyFont="1" applyBorder="1" applyAlignment="1">
      <alignment horizontal="center" vertical="top"/>
    </xf>
    <xf numFmtId="0" fontId="56" fillId="32" borderId="5" xfId="0" applyFont="1" applyFill="1" applyBorder="1" applyAlignment="1">
      <alignment horizontal="center" vertical="top"/>
    </xf>
    <xf numFmtId="0" fontId="56" fillId="30" borderId="5" xfId="0" applyFont="1" applyFill="1" applyBorder="1" applyAlignment="1">
      <alignment horizontal="center" vertical="top"/>
    </xf>
    <xf numFmtId="0" fontId="56" fillId="13" borderId="5" xfId="0" applyFont="1" applyFill="1" applyBorder="1" applyAlignment="1">
      <alignment horizontal="center" vertical="top"/>
    </xf>
    <xf numFmtId="0" fontId="56" fillId="0" borderId="5" xfId="0" applyFont="1" applyBorder="1" applyAlignment="1">
      <alignment horizontal="center" vertical="top"/>
    </xf>
    <xf numFmtId="0" fontId="56" fillId="0" borderId="1" xfId="0" applyFont="1" applyBorder="1" applyAlignment="1">
      <alignment horizontal="center" vertical="top" wrapText="1"/>
    </xf>
    <xf numFmtId="0" fontId="56" fillId="0" borderId="10" xfId="0" applyFont="1" applyBorder="1" applyAlignment="1">
      <alignment horizontal="center" vertical="top"/>
    </xf>
    <xf numFmtId="0" fontId="56" fillId="0" borderId="1" xfId="0" applyFont="1" applyBorder="1" applyAlignment="1">
      <alignment horizontal="center" vertical="top"/>
    </xf>
    <xf numFmtId="0" fontId="56" fillId="0" borderId="0" xfId="0" applyFont="1" applyAlignment="1">
      <alignment horizontal="center" vertical="top" wrapText="1"/>
    </xf>
    <xf numFmtId="0" fontId="58" fillId="0" borderId="20" xfId="0" applyFont="1" applyBorder="1" applyAlignment="1">
      <alignment horizontal="center" vertical="center" wrapText="1"/>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top" wrapText="1"/>
    </xf>
    <xf numFmtId="0" fontId="56" fillId="29" borderId="0" xfId="0" applyFont="1" applyFill="1" applyAlignment="1">
      <alignment horizontal="center" vertical="top" wrapText="1"/>
    </xf>
    <xf numFmtId="0" fontId="56" fillId="0" borderId="55" xfId="0" applyFont="1" applyBorder="1" applyAlignment="1">
      <alignment horizontal="center" vertical="top" wrapText="1"/>
    </xf>
    <xf numFmtId="0" fontId="56" fillId="0" borderId="54" xfId="0" applyFont="1" applyBorder="1" applyAlignment="1">
      <alignment horizontal="center" vertical="top" wrapText="1"/>
    </xf>
    <xf numFmtId="0" fontId="56" fillId="13" borderId="0" xfId="0" applyFont="1" applyFill="1" applyAlignment="1">
      <alignment horizontal="center" vertical="top" wrapText="1"/>
    </xf>
    <xf numFmtId="0" fontId="56" fillId="0" borderId="56" xfId="0" applyFont="1" applyBorder="1" applyAlignment="1">
      <alignment horizontal="center" vertical="top" wrapText="1"/>
    </xf>
    <xf numFmtId="0" fontId="56" fillId="12" borderId="19" xfId="0" applyFont="1" applyFill="1" applyBorder="1" applyAlignment="1">
      <alignment horizontal="center" vertical="top"/>
    </xf>
    <xf numFmtId="0" fontId="56" fillId="12" borderId="20" xfId="0" applyFont="1" applyFill="1" applyBorder="1" applyAlignment="1">
      <alignment horizontal="center" vertical="top"/>
    </xf>
    <xf numFmtId="0" fontId="56" fillId="0" borderId="19" xfId="0" applyFont="1" applyBorder="1" applyAlignment="1">
      <alignment horizontal="center" vertical="top"/>
    </xf>
    <xf numFmtId="49" fontId="56" fillId="0" borderId="19" xfId="0" applyNumberFormat="1" applyFont="1" applyBorder="1" applyAlignment="1">
      <alignment horizontal="center" vertical="top"/>
    </xf>
    <xf numFmtId="0" fontId="56" fillId="27" borderId="19" xfId="0" applyFont="1" applyFill="1" applyBorder="1" applyAlignment="1">
      <alignment horizontal="center" vertical="top"/>
    </xf>
    <xf numFmtId="0" fontId="56" fillId="27" borderId="20" xfId="0" applyFont="1" applyFill="1" applyBorder="1" applyAlignment="1">
      <alignment horizontal="center" vertical="top"/>
    </xf>
    <xf numFmtId="0" fontId="56" fillId="25" borderId="19" xfId="0" applyFont="1" applyFill="1" applyBorder="1" applyAlignment="1">
      <alignment horizontal="center" vertical="top"/>
    </xf>
    <xf numFmtId="0" fontId="56" fillId="25" borderId="20" xfId="0" applyFont="1" applyFill="1" applyBorder="1" applyAlignment="1">
      <alignment horizontal="center" vertical="top"/>
    </xf>
    <xf numFmtId="0" fontId="56" fillId="0" borderId="4" xfId="0" applyFont="1" applyBorder="1" applyAlignment="1">
      <alignment horizontal="center" vertical="top"/>
    </xf>
    <xf numFmtId="0" fontId="56" fillId="0" borderId="2" xfId="0" applyFont="1" applyBorder="1" applyAlignment="1">
      <alignment horizontal="center" vertical="top"/>
    </xf>
    <xf numFmtId="0" fontId="56" fillId="0" borderId="8" xfId="0" applyFont="1" applyBorder="1" applyAlignment="1">
      <alignment horizontal="center" vertical="top"/>
    </xf>
    <xf numFmtId="0" fontId="0" fillId="9" borderId="0" xfId="0" applyFill="1">
      <alignment vertical="center"/>
    </xf>
    <xf numFmtId="0" fontId="3" fillId="9" borderId="0" xfId="0" applyFont="1" applyFill="1" applyAlignment="1">
      <alignment vertical="center" wrapText="1"/>
    </xf>
    <xf numFmtId="0" fontId="23" fillId="9" borderId="0" xfId="0" applyFont="1" applyFill="1" applyAlignment="1">
      <alignment wrapText="1"/>
    </xf>
    <xf numFmtId="0" fontId="62" fillId="9" borderId="0" xfId="0" applyFont="1" applyFill="1" applyAlignment="1" applyProtection="1">
      <alignment horizontal="center" vertical="center" wrapText="1"/>
      <protection locked="0"/>
    </xf>
    <xf numFmtId="0" fontId="22" fillId="9" borderId="0" xfId="0" applyFont="1" applyFill="1" applyAlignment="1">
      <alignment wrapText="1"/>
    </xf>
    <xf numFmtId="0" fontId="65" fillId="12" borderId="5" xfId="0" applyFont="1" applyFill="1" applyBorder="1" applyAlignment="1" applyProtection="1">
      <alignment horizontal="center" vertical="center"/>
      <protection locked="0"/>
    </xf>
    <xf numFmtId="0" fontId="28" fillId="9" borderId="0" xfId="0" applyFont="1" applyFill="1" applyAlignment="1">
      <alignment horizontal="center" vertical="center" wrapText="1"/>
    </xf>
    <xf numFmtId="0" fontId="62" fillId="9" borderId="0" xfId="0" applyFont="1" applyFill="1" applyAlignment="1">
      <alignment horizontal="center" vertical="center" wrapText="1"/>
    </xf>
    <xf numFmtId="0" fontId="66" fillId="9" borderId="0" xfId="0" applyFont="1" applyFill="1" applyAlignment="1">
      <alignment horizontal="center" vertical="center" wrapText="1"/>
    </xf>
    <xf numFmtId="0" fontId="43" fillId="12" borderId="5" xfId="0" applyFont="1" applyFill="1" applyBorder="1" applyAlignment="1" applyProtection="1">
      <alignment horizontal="center" vertical="center"/>
      <protection locked="0"/>
    </xf>
    <xf numFmtId="0" fontId="22" fillId="9" borderId="1" xfId="0" applyFont="1" applyFill="1" applyBorder="1" applyAlignment="1">
      <alignment horizontal="center"/>
    </xf>
    <xf numFmtId="0" fontId="43" fillId="4" borderId="7" xfId="0" applyFont="1" applyFill="1" applyBorder="1" applyAlignment="1">
      <alignment horizontal="center" vertical="center" wrapText="1"/>
    </xf>
    <xf numFmtId="0" fontId="40" fillId="4" borderId="7" xfId="0" applyFont="1" applyFill="1" applyBorder="1" applyAlignment="1">
      <alignment horizontal="center" vertical="center" wrapText="1"/>
    </xf>
    <xf numFmtId="0" fontId="43" fillId="4" borderId="3" xfId="0" applyFont="1" applyFill="1" applyBorder="1" applyAlignment="1">
      <alignment horizontal="center" vertical="center" wrapText="1"/>
    </xf>
    <xf numFmtId="0" fontId="22" fillId="9" borderId="0" xfId="0" applyFont="1" applyFill="1" applyAlignment="1">
      <alignment horizontal="center" vertical="top" wrapText="1"/>
    </xf>
    <xf numFmtId="0" fontId="70" fillId="9" borderId="0" xfId="0" applyFont="1" applyFill="1" applyAlignment="1">
      <alignment horizontal="center" vertical="center" wrapText="1"/>
    </xf>
    <xf numFmtId="0" fontId="72" fillId="36" borderId="0" xfId="0" applyFont="1" applyFill="1" applyAlignment="1" applyProtection="1">
      <alignment horizontal="center" vertical="center" wrapText="1"/>
      <protection locked="0"/>
    </xf>
    <xf numFmtId="0" fontId="22" fillId="9" borderId="0" xfId="0" applyFont="1" applyFill="1" applyAlignment="1">
      <alignment horizontal="right"/>
    </xf>
    <xf numFmtId="0" fontId="73" fillId="9" borderId="0" xfId="0" applyFont="1" applyFill="1" applyAlignment="1">
      <alignment horizontal="center" vertical="center" wrapText="1"/>
    </xf>
    <xf numFmtId="0" fontId="40" fillId="9" borderId="0" xfId="0" applyFont="1" applyFill="1" applyAlignment="1">
      <alignment horizontal="center" wrapText="1"/>
    </xf>
    <xf numFmtId="0" fontId="22" fillId="9" borderId="0" xfId="0" applyFont="1" applyFill="1" applyAlignment="1">
      <alignment horizontal="right" wrapText="1"/>
    </xf>
    <xf numFmtId="0" fontId="22" fillId="9" borderId="0" xfId="0" applyFont="1" applyFill="1" applyAlignment="1">
      <alignment horizontal="center"/>
    </xf>
    <xf numFmtId="0" fontId="30" fillId="4" borderId="5" xfId="0" applyFont="1" applyFill="1" applyBorder="1" applyAlignment="1">
      <alignment horizontal="center" vertical="center" wrapText="1"/>
    </xf>
    <xf numFmtId="0" fontId="30" fillId="4" borderId="57" xfId="0" applyFont="1" applyFill="1" applyBorder="1" applyAlignment="1" applyProtection="1">
      <alignment horizontal="center" vertical="center" wrapText="1"/>
      <protection locked="0"/>
    </xf>
    <xf numFmtId="0" fontId="3" fillId="9" borderId="0" xfId="0" applyFont="1" applyFill="1" applyAlignment="1">
      <alignment horizontal="center" wrapText="1"/>
    </xf>
    <xf numFmtId="0" fontId="30" fillId="4" borderId="58" xfId="0" applyFont="1" applyFill="1" applyBorder="1" applyAlignment="1" applyProtection="1">
      <alignment horizontal="center" vertical="center" wrapText="1"/>
      <protection locked="0"/>
    </xf>
    <xf numFmtId="0" fontId="30" fillId="13" borderId="58" xfId="0" applyFont="1" applyFill="1" applyBorder="1" applyAlignment="1" applyProtection="1">
      <alignment horizontal="center" vertical="center" wrapText="1"/>
      <protection locked="0"/>
    </xf>
    <xf numFmtId="0" fontId="72" fillId="36" borderId="0" xfId="0" applyFont="1" applyFill="1" applyAlignment="1" applyProtection="1">
      <alignment horizontal="center" vertical="center"/>
      <protection locked="0"/>
    </xf>
    <xf numFmtId="0" fontId="3" fillId="9" borderId="54" xfId="0" applyFont="1" applyFill="1" applyBorder="1" applyAlignment="1">
      <alignment horizontal="center" vertical="center" wrapText="1"/>
    </xf>
    <xf numFmtId="0" fontId="72" fillId="36" borderId="0" xfId="0" applyFont="1" applyFill="1" applyAlignment="1">
      <alignment horizontal="center" vertical="center" wrapText="1"/>
    </xf>
    <xf numFmtId="0" fontId="2" fillId="9" borderId="0" xfId="0" applyFont="1" applyFill="1" applyAlignment="1">
      <alignment vertical="center" wrapText="1"/>
    </xf>
    <xf numFmtId="0" fontId="20" fillId="9" borderId="0" xfId="0" applyFont="1" applyFill="1" applyAlignment="1" applyProtection="1">
      <alignment horizontal="center" vertical="center" wrapText="1"/>
      <protection locked="0"/>
    </xf>
    <xf numFmtId="0" fontId="79" fillId="23" borderId="5" xfId="0" applyFont="1" applyFill="1" applyBorder="1" applyAlignment="1">
      <alignment horizontal="center" vertical="center" wrapText="1"/>
    </xf>
    <xf numFmtId="0" fontId="2" fillId="34" borderId="5" xfId="0" applyFont="1" applyFill="1" applyBorder="1" applyAlignment="1">
      <alignment vertical="center" wrapText="1"/>
    </xf>
    <xf numFmtId="0" fontId="22" fillId="9" borderId="61" xfId="0" applyFont="1" applyFill="1" applyBorder="1" applyAlignment="1">
      <alignment horizontal="center"/>
    </xf>
    <xf numFmtId="0" fontId="22" fillId="9" borderId="61" xfId="0" applyFont="1" applyFill="1" applyBorder="1" applyAlignment="1">
      <alignment horizontal="center" wrapText="1"/>
    </xf>
    <xf numFmtId="0" fontId="30" fillId="4" borderId="5" xfId="0" applyFont="1" applyFill="1" applyBorder="1" applyAlignment="1" applyProtection="1">
      <alignment horizontal="center" vertical="center" wrapText="1"/>
      <protection locked="0"/>
    </xf>
    <xf numFmtId="0" fontId="30" fillId="13" borderId="5" xfId="0" applyFont="1" applyFill="1" applyBorder="1" applyAlignment="1" applyProtection="1">
      <alignment horizontal="center" vertical="center" wrapText="1"/>
      <protection locked="0"/>
    </xf>
    <xf numFmtId="0" fontId="30" fillId="4" borderId="5" xfId="0" applyFont="1" applyFill="1" applyBorder="1" applyAlignment="1" applyProtection="1">
      <alignment horizontal="center" vertical="center"/>
      <protection locked="0"/>
    </xf>
    <xf numFmtId="0" fontId="30" fillId="13" borderId="5" xfId="0" applyFont="1" applyFill="1" applyBorder="1" applyAlignment="1" applyProtection="1">
      <alignment horizontal="center" vertical="center"/>
      <protection locked="0"/>
    </xf>
    <xf numFmtId="0" fontId="40" fillId="9" borderId="0" xfId="0" quotePrefix="1" applyFont="1" applyFill="1" applyAlignment="1">
      <alignment horizontal="center" vertical="center" wrapText="1"/>
    </xf>
    <xf numFmtId="0" fontId="13" fillId="29" borderId="0" xfId="0" applyFont="1" applyFill="1" applyAlignment="1">
      <alignment horizontal="center" vertical="top" wrapText="1"/>
    </xf>
    <xf numFmtId="0" fontId="0" fillId="0" borderId="11" xfId="0" applyBorder="1">
      <alignment vertical="center"/>
    </xf>
    <xf numFmtId="0" fontId="0" fillId="0" borderId="5" xfId="0" applyBorder="1">
      <alignment vertical="center"/>
    </xf>
    <xf numFmtId="0" fontId="16" fillId="0" borderId="0" xfId="0" applyFont="1" applyAlignment="1">
      <alignment vertical="center" wrapText="1"/>
    </xf>
    <xf numFmtId="0" fontId="13" fillId="0" borderId="0" xfId="0" applyFont="1" applyAlignment="1">
      <alignment vertical="center" wrapText="1"/>
    </xf>
    <xf numFmtId="0" fontId="16" fillId="0" borderId="5" xfId="0" applyFont="1" applyBorder="1">
      <alignment vertical="center"/>
    </xf>
    <xf numFmtId="0" fontId="43" fillId="9" borderId="0" xfId="0" applyFont="1" applyFill="1" applyAlignment="1">
      <alignment horizontal="center" vertical="center"/>
    </xf>
    <xf numFmtId="0" fontId="43" fillId="0" borderId="0" xfId="0" applyFont="1" applyAlignment="1">
      <alignment horizontal="center" vertical="top" wrapText="1"/>
    </xf>
    <xf numFmtId="0" fontId="50" fillId="0" borderId="0" xfId="0" applyFont="1" applyAlignment="1">
      <alignment horizontal="center" vertical="top"/>
    </xf>
    <xf numFmtId="0" fontId="92" fillId="4" borderId="5" xfId="0" applyFont="1" applyFill="1" applyBorder="1" applyAlignment="1" applyProtection="1">
      <alignment horizontal="center" vertical="center"/>
      <protection locked="0"/>
    </xf>
    <xf numFmtId="0" fontId="91" fillId="39" borderId="5" xfId="0" applyFont="1" applyFill="1" applyBorder="1" applyAlignment="1">
      <alignment horizontal="center" vertical="top"/>
    </xf>
    <xf numFmtId="0" fontId="24" fillId="20" borderId="62" xfId="0" applyFont="1" applyFill="1" applyBorder="1" applyAlignment="1">
      <alignment horizontal="left" vertical="center"/>
    </xf>
    <xf numFmtId="0" fontId="24" fillId="20" borderId="62" xfId="0" applyFont="1" applyFill="1" applyBorder="1" applyAlignment="1">
      <alignment horizontal="left" vertical="center" wrapText="1"/>
    </xf>
    <xf numFmtId="0" fontId="24" fillId="20" borderId="63" xfId="0" applyFont="1" applyFill="1" applyBorder="1" applyAlignment="1">
      <alignment horizontal="left" vertical="center"/>
    </xf>
    <xf numFmtId="0" fontId="24" fillId="37" borderId="62" xfId="0" applyFont="1" applyFill="1" applyBorder="1" applyAlignment="1">
      <alignment horizontal="left" vertical="center"/>
    </xf>
    <xf numFmtId="0" fontId="24" fillId="37" borderId="62" xfId="0" applyFont="1" applyFill="1" applyBorder="1" applyAlignment="1">
      <alignment horizontal="left" vertical="center" wrapText="1"/>
    </xf>
    <xf numFmtId="0" fontId="24" fillId="37" borderId="63" xfId="0" applyFont="1" applyFill="1" applyBorder="1" applyAlignment="1">
      <alignment horizontal="left" vertical="center"/>
    </xf>
    <xf numFmtId="0" fontId="24" fillId="37" borderId="20" xfId="0" applyFont="1" applyFill="1" applyBorder="1" applyAlignment="1">
      <alignment horizontal="left" vertical="top" wrapText="1"/>
    </xf>
    <xf numFmtId="0" fontId="24" fillId="14" borderId="62" xfId="0" applyFont="1" applyFill="1" applyBorder="1" applyAlignment="1">
      <alignment horizontal="left" vertical="center"/>
    </xf>
    <xf numFmtId="0" fontId="24" fillId="14" borderId="62" xfId="0" applyFont="1" applyFill="1" applyBorder="1" applyAlignment="1">
      <alignment horizontal="left" vertical="center" wrapText="1"/>
    </xf>
    <xf numFmtId="0" fontId="24" fillId="14" borderId="63" xfId="0" applyFont="1" applyFill="1" applyBorder="1" applyAlignment="1">
      <alignment horizontal="left" vertical="center"/>
    </xf>
    <xf numFmtId="0" fontId="24" fillId="20" borderId="62" xfId="0" applyFont="1" applyFill="1" applyBorder="1" applyAlignment="1">
      <alignment horizontal="center" vertical="center"/>
    </xf>
    <xf numFmtId="0" fontId="24" fillId="37" borderId="62" xfId="0" applyFont="1" applyFill="1" applyBorder="1" applyAlignment="1">
      <alignment horizontal="center" vertical="center"/>
    </xf>
    <xf numFmtId="0" fontId="24" fillId="14" borderId="62" xfId="0" applyFont="1" applyFill="1" applyBorder="1" applyAlignment="1">
      <alignment horizontal="center" vertical="center"/>
    </xf>
    <xf numFmtId="0" fontId="24" fillId="20" borderId="62" xfId="0" applyFont="1" applyFill="1" applyBorder="1" applyAlignment="1">
      <alignment horizontal="center" vertical="top" wrapText="1"/>
    </xf>
    <xf numFmtId="0" fontId="24" fillId="37" borderId="62" xfId="0" applyFont="1" applyFill="1" applyBorder="1" applyAlignment="1">
      <alignment horizontal="center" vertical="top" wrapText="1"/>
    </xf>
    <xf numFmtId="0" fontId="24" fillId="14" borderId="62" xfId="0" applyFont="1" applyFill="1" applyBorder="1" applyAlignment="1">
      <alignment horizontal="center" vertical="top" wrapText="1"/>
    </xf>
    <xf numFmtId="0" fontId="24" fillId="0" borderId="62" xfId="0" applyFont="1" applyBorder="1" applyAlignment="1"/>
    <xf numFmtId="0" fontId="24" fillId="18" borderId="62" xfId="0" applyFont="1" applyFill="1" applyBorder="1" applyAlignment="1">
      <alignment horizontal="center" vertical="center"/>
    </xf>
    <xf numFmtId="0" fontId="24" fillId="18" borderId="62" xfId="0" applyFont="1" applyFill="1" applyBorder="1" applyAlignment="1">
      <alignment horizontal="center" vertical="top" wrapText="1"/>
    </xf>
    <xf numFmtId="0" fontId="24" fillId="18" borderId="62" xfId="0" applyFont="1" applyFill="1" applyBorder="1" applyAlignment="1">
      <alignment horizontal="left" vertical="center"/>
    </xf>
    <xf numFmtId="0" fontId="24" fillId="18" borderId="63" xfId="0" applyFont="1" applyFill="1" applyBorder="1" applyAlignment="1">
      <alignment horizontal="left" vertical="center"/>
    </xf>
    <xf numFmtId="0" fontId="24" fillId="18" borderId="62" xfId="0" applyFont="1" applyFill="1" applyBorder="1" applyAlignment="1">
      <alignment horizontal="left" vertical="center" wrapText="1"/>
    </xf>
    <xf numFmtId="0" fontId="24" fillId="16" borderId="62" xfId="0" applyFont="1" applyFill="1" applyBorder="1" applyAlignment="1">
      <alignment horizontal="center" vertical="center"/>
    </xf>
    <xf numFmtId="0" fontId="24" fillId="16" borderId="62" xfId="0" applyFont="1" applyFill="1" applyBorder="1" applyAlignment="1">
      <alignment horizontal="center" vertical="top" wrapText="1"/>
    </xf>
    <xf numFmtId="0" fontId="24" fillId="16" borderId="62" xfId="0" applyFont="1" applyFill="1" applyBorder="1" applyAlignment="1">
      <alignment horizontal="left" vertical="center"/>
    </xf>
    <xf numFmtId="0" fontId="24" fillId="16" borderId="63" xfId="0" applyFont="1" applyFill="1" applyBorder="1" applyAlignment="1">
      <alignment horizontal="left" vertical="center"/>
    </xf>
    <xf numFmtId="0" fontId="24" fillId="16" borderId="62" xfId="0" applyFont="1" applyFill="1" applyBorder="1" applyAlignment="1">
      <alignment horizontal="left" vertical="center" wrapText="1"/>
    </xf>
    <xf numFmtId="0" fontId="1" fillId="39" borderId="2" xfId="0" applyFont="1" applyFill="1" applyBorder="1" applyAlignment="1">
      <alignment horizontal="center" vertical="center" wrapText="1"/>
    </xf>
    <xf numFmtId="0" fontId="1" fillId="39" borderId="3" xfId="0" applyFont="1" applyFill="1" applyBorder="1" applyAlignment="1">
      <alignment horizontal="center" vertical="center" wrapText="1"/>
    </xf>
    <xf numFmtId="0" fontId="1" fillId="39" borderId="8" xfId="0" applyFont="1" applyFill="1" applyBorder="1" applyAlignment="1">
      <alignment horizontal="center" vertical="center" wrapText="1"/>
    </xf>
    <xf numFmtId="0" fontId="1" fillId="39" borderId="20" xfId="0" applyFont="1" applyFill="1" applyBorder="1" applyAlignment="1">
      <alignment horizontal="center" vertical="center" wrapText="1"/>
    </xf>
    <xf numFmtId="0" fontId="1" fillId="39" borderId="10" xfId="0" applyFont="1" applyFill="1" applyBorder="1" applyAlignment="1">
      <alignment horizontal="center" vertical="center" wrapText="1"/>
    </xf>
    <xf numFmtId="0" fontId="1" fillId="39" borderId="4" xfId="0" applyFont="1" applyFill="1" applyBorder="1" applyAlignment="1">
      <alignment horizontal="center" vertical="center" wrapText="1"/>
    </xf>
    <xf numFmtId="0" fontId="1" fillId="39" borderId="1" xfId="0" applyFont="1" applyFill="1" applyBorder="1" applyAlignment="1">
      <alignment horizontal="center" vertical="center" wrapText="1"/>
    </xf>
    <xf numFmtId="1" fontId="1" fillId="39" borderId="1" xfId="0" applyNumberFormat="1" applyFont="1" applyFill="1" applyBorder="1" applyAlignment="1">
      <alignment horizontal="center" vertical="center" wrapText="1"/>
    </xf>
    <xf numFmtId="0" fontId="1" fillId="39" borderId="33" xfId="0" applyFont="1" applyFill="1" applyBorder="1" applyAlignment="1">
      <alignment horizontal="center" vertical="center" wrapText="1"/>
    </xf>
    <xf numFmtId="0" fontId="1" fillId="39" borderId="19" xfId="0" applyFont="1" applyFill="1" applyBorder="1" applyAlignment="1">
      <alignment horizontal="center" vertical="center" wrapText="1"/>
    </xf>
    <xf numFmtId="0" fontId="1" fillId="39" borderId="0" xfId="0" applyFont="1" applyFill="1" applyAlignment="1">
      <alignment horizontal="center" vertical="center" wrapText="1"/>
    </xf>
    <xf numFmtId="49" fontId="28" fillId="21" borderId="9" xfId="0" applyNumberFormat="1" applyFont="1" applyFill="1" applyBorder="1" applyAlignment="1">
      <alignment horizontal="center" vertical="center" wrapText="1"/>
    </xf>
    <xf numFmtId="49" fontId="28" fillId="21" borderId="30" xfId="0" applyNumberFormat="1" applyFont="1" applyFill="1" applyBorder="1" applyAlignment="1">
      <alignment horizontal="center" vertical="center" wrapText="1"/>
    </xf>
    <xf numFmtId="0" fontId="28" fillId="21" borderId="9" xfId="0" applyFont="1" applyFill="1" applyBorder="1" applyAlignment="1">
      <alignment horizontal="center" vertical="center" wrapText="1"/>
    </xf>
    <xf numFmtId="0" fontId="28" fillId="21" borderId="18" xfId="0" applyFont="1" applyFill="1" applyBorder="1" applyAlignment="1">
      <alignment horizontal="center" vertical="center" wrapText="1"/>
    </xf>
    <xf numFmtId="0" fontId="1" fillId="39" borderId="28"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100" fillId="49" borderId="0" xfId="1" applyFont="1" applyFill="1" applyAlignment="1">
      <alignment horizontal="center" vertical="center"/>
    </xf>
    <xf numFmtId="0" fontId="100" fillId="0" borderId="0" xfId="1" applyFont="1" applyAlignment="1">
      <alignment horizontal="center" vertical="center"/>
    </xf>
    <xf numFmtId="0" fontId="46" fillId="0" borderId="0" xfId="1" applyAlignment="1">
      <alignment horizontal="center" vertical="center"/>
    </xf>
    <xf numFmtId="0" fontId="100" fillId="48" borderId="5" xfId="1" applyFont="1" applyFill="1" applyBorder="1" applyAlignment="1">
      <alignment horizontal="center" vertical="center"/>
    </xf>
    <xf numFmtId="0" fontId="100" fillId="49" borderId="5" xfId="1" applyFont="1" applyFill="1" applyBorder="1" applyAlignment="1">
      <alignment horizontal="center" vertical="center"/>
    </xf>
    <xf numFmtId="0" fontId="100" fillId="50" borderId="5" xfId="1" applyFont="1" applyFill="1" applyBorder="1" applyAlignment="1">
      <alignment horizontal="center" vertical="center"/>
    </xf>
    <xf numFmtId="0" fontId="100" fillId="36" borderId="5" xfId="1" applyFont="1" applyFill="1" applyBorder="1" applyAlignment="1">
      <alignment horizontal="center" vertical="center"/>
    </xf>
    <xf numFmtId="0" fontId="100" fillId="44" borderId="5" xfId="1" applyFont="1" applyFill="1" applyBorder="1" applyAlignment="1">
      <alignment horizontal="center" vertical="center"/>
    </xf>
    <xf numFmtId="0" fontId="100" fillId="34" borderId="5" xfId="1" applyFont="1" applyFill="1" applyBorder="1" applyAlignment="1">
      <alignment horizontal="center" vertical="center"/>
    </xf>
    <xf numFmtId="0" fontId="100" fillId="51" borderId="5" xfId="1" applyFont="1" applyFill="1" applyBorder="1" applyAlignment="1">
      <alignment horizontal="center" vertical="center"/>
    </xf>
    <xf numFmtId="0" fontId="13" fillId="0" borderId="0" xfId="0" applyFont="1" applyAlignment="1">
      <alignment horizontal="center" vertical="top"/>
    </xf>
    <xf numFmtId="0" fontId="3" fillId="4" borderId="5" xfId="0" applyFont="1" applyFill="1" applyBorder="1" applyAlignment="1" applyProtection="1">
      <alignment horizontal="center" vertical="center" wrapText="1"/>
      <protection locked="0"/>
    </xf>
    <xf numFmtId="0" fontId="29" fillId="23" borderId="5" xfId="0" applyFont="1" applyFill="1" applyBorder="1" applyAlignment="1">
      <alignment horizontal="center" vertical="center" wrapText="1"/>
    </xf>
    <xf numFmtId="0" fontId="43" fillId="4" borderId="5" xfId="0" applyFont="1" applyFill="1" applyBorder="1" applyAlignment="1" applyProtection="1">
      <alignment horizontal="center" vertical="center" wrapText="1"/>
      <protection locked="0"/>
    </xf>
    <xf numFmtId="0" fontId="29" fillId="23" borderId="5" xfId="0" applyFont="1" applyFill="1" applyBorder="1" applyAlignment="1">
      <alignment horizontal="center" vertical="center"/>
    </xf>
    <xf numFmtId="0" fontId="80" fillId="23" borderId="5" xfId="0" applyFont="1" applyFill="1" applyBorder="1" applyAlignment="1">
      <alignment horizontal="center" vertical="center" wrapText="1"/>
    </xf>
    <xf numFmtId="0" fontId="3" fillId="13" borderId="6" xfId="0" applyFont="1" applyFill="1" applyBorder="1" applyAlignment="1" applyProtection="1">
      <alignment horizontal="center" vertical="center" wrapText="1"/>
      <protection locked="0"/>
    </xf>
    <xf numFmtId="0" fontId="3" fillId="13" borderId="7" xfId="0" applyFont="1" applyFill="1" applyBorder="1" applyAlignment="1" applyProtection="1">
      <alignment horizontal="center" vertical="center" wrapText="1"/>
      <protection locked="0"/>
    </xf>
    <xf numFmtId="0" fontId="3" fillId="13" borderId="11" xfId="0" applyFont="1" applyFill="1" applyBorder="1" applyAlignment="1" applyProtection="1">
      <alignment horizontal="center" vertical="center" wrapText="1"/>
      <protection locked="0"/>
    </xf>
    <xf numFmtId="0" fontId="3" fillId="4" borderId="6"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0" fontId="43" fillId="13" borderId="5" xfId="0" applyFont="1" applyFill="1" applyBorder="1" applyAlignment="1" applyProtection="1">
      <alignment horizontal="center" vertical="center" wrapText="1"/>
      <protection locked="0"/>
    </xf>
    <xf numFmtId="0" fontId="29" fillId="23" borderId="6" xfId="0" applyFont="1" applyFill="1" applyBorder="1" applyAlignment="1">
      <alignment horizontal="center" vertical="center"/>
    </xf>
    <xf numFmtId="0" fontId="29" fillId="23" borderId="7" xfId="0" applyFont="1" applyFill="1" applyBorder="1" applyAlignment="1">
      <alignment horizontal="center" vertical="center"/>
    </xf>
    <xf numFmtId="0" fontId="29" fillId="23" borderId="11" xfId="0" applyFont="1" applyFill="1" applyBorder="1" applyAlignment="1">
      <alignment horizontal="center" vertical="center"/>
    </xf>
    <xf numFmtId="0" fontId="3" fillId="4" borderId="5" xfId="0" applyFont="1" applyFill="1" applyBorder="1" applyAlignment="1" applyProtection="1">
      <alignment horizontal="left" vertical="center" wrapText="1"/>
      <protection locked="0"/>
    </xf>
    <xf numFmtId="0" fontId="3" fillId="13" borderId="5" xfId="0" applyFont="1" applyFill="1" applyBorder="1" applyAlignment="1" applyProtection="1">
      <alignment horizontal="left" vertical="center" wrapText="1"/>
      <protection locked="0"/>
    </xf>
    <xf numFmtId="0" fontId="3" fillId="13" borderId="5" xfId="0" applyFont="1" applyFill="1" applyBorder="1" applyAlignment="1" applyProtection="1">
      <alignment horizontal="center" vertical="center" wrapText="1"/>
      <protection locked="0"/>
    </xf>
    <xf numFmtId="0" fontId="29" fillId="44" borderId="0" xfId="0" applyFont="1" applyFill="1" applyAlignment="1">
      <alignment horizontal="center" vertical="center"/>
    </xf>
    <xf numFmtId="0" fontId="28" fillId="9" borderId="54" xfId="0" applyFont="1" applyFill="1" applyBorder="1" applyAlignment="1">
      <alignment horizontal="center" vertical="center" wrapText="1"/>
    </xf>
    <xf numFmtId="0" fontId="30" fillId="4" borderId="5" xfId="0" applyFont="1" applyFill="1" applyBorder="1" applyAlignment="1" applyProtection="1">
      <alignment horizontal="center" vertical="center"/>
      <protection locked="0"/>
    </xf>
    <xf numFmtId="0" fontId="2" fillId="34" borderId="5" xfId="0" applyFont="1" applyFill="1" applyBorder="1" applyAlignment="1">
      <alignment horizontal="center" vertical="center" wrapText="1"/>
    </xf>
    <xf numFmtId="49" fontId="67" fillId="4" borderId="6" xfId="0" applyNumberFormat="1" applyFont="1" applyFill="1" applyBorder="1" applyAlignment="1" applyProtection="1">
      <alignment horizontal="right" vertical="center"/>
      <protection locked="0"/>
    </xf>
    <xf numFmtId="49" fontId="67" fillId="4" borderId="7" xfId="0" applyNumberFormat="1" applyFont="1" applyFill="1" applyBorder="1" applyAlignment="1" applyProtection="1">
      <alignment horizontal="right" vertical="center"/>
      <protection locked="0"/>
    </xf>
    <xf numFmtId="0" fontId="67" fillId="4" borderId="7" xfId="0" applyFont="1" applyFill="1" applyBorder="1" applyAlignment="1">
      <alignment horizontal="left" vertical="center"/>
    </xf>
    <xf numFmtId="0" fontId="67" fillId="4" borderId="11" xfId="0" applyFont="1" applyFill="1" applyBorder="1" applyAlignment="1">
      <alignment horizontal="left" vertical="center"/>
    </xf>
    <xf numFmtId="0" fontId="6" fillId="4" borderId="5" xfId="0" applyFont="1" applyFill="1" applyBorder="1" applyAlignment="1">
      <alignment horizontal="center" vertical="center" wrapText="1"/>
    </xf>
    <xf numFmtId="0" fontId="30" fillId="4" borderId="6" xfId="0" applyFont="1" applyFill="1" applyBorder="1" applyAlignment="1" applyProtection="1">
      <alignment horizontal="center" vertical="center"/>
      <protection locked="0"/>
    </xf>
    <xf numFmtId="0" fontId="30" fillId="4" borderId="7" xfId="0" applyFont="1" applyFill="1" applyBorder="1" applyAlignment="1" applyProtection="1">
      <alignment horizontal="center" vertical="center"/>
      <protection locked="0"/>
    </xf>
    <xf numFmtId="0" fontId="30" fillId="4" borderId="11" xfId="0" applyFont="1" applyFill="1" applyBorder="1" applyAlignment="1" applyProtection="1">
      <alignment horizontal="center" vertical="center"/>
      <protection locked="0"/>
    </xf>
    <xf numFmtId="0" fontId="38" fillId="25" borderId="2" xfId="0" applyFont="1" applyFill="1" applyBorder="1" applyAlignment="1">
      <alignment horizontal="center" vertical="center" wrapText="1"/>
    </xf>
    <xf numFmtId="0" fontId="38" fillId="25" borderId="3" xfId="0" applyFont="1" applyFill="1" applyBorder="1" applyAlignment="1">
      <alignment horizontal="center" vertical="center" wrapText="1"/>
    </xf>
    <xf numFmtId="0" fontId="38" fillId="25" borderId="8" xfId="0" applyFont="1" applyFill="1" applyBorder="1" applyAlignment="1">
      <alignment horizontal="center" vertical="center" wrapText="1"/>
    </xf>
    <xf numFmtId="0" fontId="38" fillId="25" borderId="4" xfId="0" applyFont="1" applyFill="1" applyBorder="1" applyAlignment="1">
      <alignment horizontal="center" vertical="center" wrapText="1"/>
    </xf>
    <xf numFmtId="0" fontId="38" fillId="25" borderId="1" xfId="0" applyFont="1" applyFill="1" applyBorder="1" applyAlignment="1">
      <alignment horizontal="center" vertical="center" wrapText="1"/>
    </xf>
    <xf numFmtId="0" fontId="38" fillId="25" borderId="10" xfId="0" applyFont="1" applyFill="1" applyBorder="1" applyAlignment="1">
      <alignment horizontal="center" vertical="center" wrapText="1"/>
    </xf>
    <xf numFmtId="0" fontId="22" fillId="9" borderId="0" xfId="0" applyFont="1" applyFill="1" applyAlignment="1">
      <alignment horizontal="center" vertical="center" wrapText="1"/>
    </xf>
    <xf numFmtId="0" fontId="22" fillId="9" borderId="0" xfId="0" applyFont="1" applyFill="1" applyAlignment="1">
      <alignment horizontal="center" vertical="center"/>
    </xf>
    <xf numFmtId="0" fontId="76" fillId="4" borderId="5" xfId="0" applyFont="1" applyFill="1" applyBorder="1" applyAlignment="1" applyProtection="1">
      <alignment horizontal="center" vertical="center" wrapText="1"/>
      <protection locked="0"/>
    </xf>
    <xf numFmtId="0" fontId="2" fillId="23" borderId="2" xfId="0" applyFont="1" applyFill="1" applyBorder="1" applyAlignment="1">
      <alignment horizontal="center" vertical="center" wrapText="1"/>
    </xf>
    <xf numFmtId="0" fontId="2" fillId="23" borderId="8" xfId="0" applyFont="1" applyFill="1" applyBorder="1" applyAlignment="1">
      <alignment horizontal="center" vertical="center" wrapText="1"/>
    </xf>
    <xf numFmtId="0" fontId="2" fillId="23" borderId="4" xfId="0" applyFont="1" applyFill="1" applyBorder="1" applyAlignment="1">
      <alignment horizontal="center" vertical="center" wrapText="1"/>
    </xf>
    <xf numFmtId="0" fontId="2" fillId="23" borderId="10" xfId="0" applyFont="1" applyFill="1" applyBorder="1" applyAlignment="1">
      <alignment horizontal="center" vertical="center" wrapText="1"/>
    </xf>
    <xf numFmtId="0" fontId="74" fillId="25" borderId="2" xfId="0" applyFont="1" applyFill="1" applyBorder="1" applyAlignment="1">
      <alignment horizontal="center" vertical="center" wrapText="1"/>
    </xf>
    <xf numFmtId="0" fontId="74" fillId="25" borderId="3" xfId="0" applyFont="1" applyFill="1" applyBorder="1" applyAlignment="1">
      <alignment horizontal="center" vertical="center" wrapText="1"/>
    </xf>
    <xf numFmtId="0" fontId="74" fillId="25" borderId="8" xfId="0" applyFont="1" applyFill="1" applyBorder="1" applyAlignment="1">
      <alignment horizontal="center" vertical="center" wrapText="1"/>
    </xf>
    <xf numFmtId="0" fontId="74" fillId="25" borderId="4" xfId="0" applyFont="1" applyFill="1" applyBorder="1" applyAlignment="1">
      <alignment horizontal="center" vertical="center" wrapText="1"/>
    </xf>
    <xf numFmtId="0" fontId="74" fillId="25" borderId="1" xfId="0" applyFont="1" applyFill="1" applyBorder="1" applyAlignment="1">
      <alignment horizontal="center" vertical="center" wrapText="1"/>
    </xf>
    <xf numFmtId="0" fontId="74" fillId="25" borderId="10" xfId="0" applyFont="1" applyFill="1" applyBorder="1" applyAlignment="1">
      <alignment horizontal="center" vertical="center" wrapText="1"/>
    </xf>
    <xf numFmtId="0" fontId="29" fillId="23" borderId="2" xfId="0" applyFont="1" applyFill="1" applyBorder="1" applyAlignment="1">
      <alignment horizontal="center" vertical="center" wrapText="1"/>
    </xf>
    <xf numFmtId="0" fontId="29" fillId="23" borderId="8" xfId="0" applyFont="1" applyFill="1" applyBorder="1" applyAlignment="1">
      <alignment horizontal="center" vertical="center" wrapText="1"/>
    </xf>
    <xf numFmtId="0" fontId="29" fillId="23" borderId="4" xfId="0" applyFont="1" applyFill="1" applyBorder="1" applyAlignment="1">
      <alignment horizontal="center" vertical="center" wrapText="1"/>
    </xf>
    <xf numFmtId="0" fontId="29" fillId="23" borderId="10" xfId="0" applyFont="1" applyFill="1" applyBorder="1" applyAlignment="1">
      <alignment horizontal="center" vertical="center" wrapText="1"/>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center" vertical="center" wrapText="1"/>
      <protection locked="0"/>
    </xf>
    <xf numFmtId="0" fontId="3" fillId="4" borderId="19" xfId="0" applyFont="1" applyFill="1" applyBorder="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wrapText="1"/>
      <protection locked="0"/>
    </xf>
    <xf numFmtId="0" fontId="22" fillId="9" borderId="0" xfId="0" applyFont="1" applyFill="1" applyAlignment="1">
      <alignment horizontal="center"/>
    </xf>
    <xf numFmtId="0" fontId="3" fillId="4" borderId="5" xfId="0" applyFont="1" applyFill="1" applyBorder="1" applyAlignment="1" applyProtection="1">
      <alignment vertical="center" wrapText="1"/>
      <protection locked="0"/>
    </xf>
    <xf numFmtId="0" fontId="29" fillId="34" borderId="0" xfId="0" applyFont="1" applyFill="1" applyAlignment="1">
      <alignment horizontal="center" vertical="center"/>
    </xf>
    <xf numFmtId="0" fontId="29" fillId="34" borderId="5" xfId="0" applyFont="1" applyFill="1" applyBorder="1" applyAlignment="1">
      <alignment horizontal="center" vertical="center"/>
    </xf>
    <xf numFmtId="0" fontId="29" fillId="34" borderId="5"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30" fillId="4" borderId="5" xfId="0" applyFont="1" applyFill="1" applyBorder="1" applyAlignment="1">
      <alignment horizontal="center" vertical="center"/>
    </xf>
    <xf numFmtId="0" fontId="30" fillId="4" borderId="6" xfId="0" applyFont="1" applyFill="1" applyBorder="1" applyAlignment="1">
      <alignment horizontal="center" vertical="center"/>
    </xf>
    <xf numFmtId="0" fontId="30" fillId="4" borderId="7" xfId="0" applyFont="1" applyFill="1" applyBorder="1" applyAlignment="1">
      <alignment horizontal="center" vertical="center"/>
    </xf>
    <xf numFmtId="0" fontId="30" fillId="4" borderId="11" xfId="0" applyFont="1" applyFill="1" applyBorder="1" applyAlignment="1">
      <alignment horizontal="center" vertical="center"/>
    </xf>
    <xf numFmtId="0" fontId="30" fillId="4" borderId="5" xfId="0" applyFont="1" applyFill="1" applyBorder="1" applyAlignment="1">
      <alignment horizontal="center" vertical="center" wrapText="1"/>
    </xf>
    <xf numFmtId="0" fontId="41" fillId="4" borderId="5" xfId="0" applyFont="1" applyFill="1" applyBorder="1" applyAlignment="1">
      <alignment horizontal="left" vertical="top" wrapText="1"/>
    </xf>
    <xf numFmtId="0" fontId="6" fillId="4" borderId="7"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30" fillId="9" borderId="0" xfId="0" applyFont="1" applyFill="1" applyAlignment="1">
      <alignment horizontal="center"/>
    </xf>
    <xf numFmtId="0" fontId="22" fillId="9" borderId="3" xfId="0" applyFont="1" applyFill="1" applyBorder="1" applyAlignment="1">
      <alignment horizontal="center"/>
    </xf>
    <xf numFmtId="0" fontId="41" fillId="13" borderId="5" xfId="0" applyFont="1" applyFill="1" applyBorder="1" applyAlignment="1" applyProtection="1">
      <alignment horizontal="left" vertical="top" wrapText="1"/>
      <protection locked="0"/>
    </xf>
    <xf numFmtId="0" fontId="51" fillId="4" borderId="6" xfId="0" applyFont="1" applyFill="1" applyBorder="1" applyAlignment="1" applyProtection="1">
      <alignment horizontal="center" vertical="center" wrapText="1"/>
      <protection locked="0"/>
    </xf>
    <xf numFmtId="0" fontId="51" fillId="4" borderId="7" xfId="0" applyFont="1" applyFill="1" applyBorder="1" applyAlignment="1" applyProtection="1">
      <alignment horizontal="center" vertical="center" wrapText="1"/>
      <protection locked="0"/>
    </xf>
    <xf numFmtId="0" fontId="51" fillId="4" borderId="11" xfId="0" applyFont="1" applyFill="1" applyBorder="1" applyAlignment="1" applyProtection="1">
      <alignment horizontal="center" vertical="center" wrapText="1"/>
      <protection locked="0"/>
    </xf>
    <xf numFmtId="0" fontId="41" fillId="4" borderId="5" xfId="0" applyFont="1" applyFill="1" applyBorder="1" applyAlignment="1" applyProtection="1">
      <alignment horizontal="left" vertical="top" wrapText="1"/>
      <protection locked="0"/>
    </xf>
    <xf numFmtId="0" fontId="22" fillId="9" borderId="0" xfId="0" applyFont="1" applyFill="1" applyAlignment="1">
      <alignment horizontal="center" wrapText="1"/>
    </xf>
    <xf numFmtId="0" fontId="51" fillId="13" borderId="6" xfId="0" applyFont="1" applyFill="1" applyBorder="1" applyAlignment="1" applyProtection="1">
      <alignment horizontal="center" vertical="center" wrapText="1"/>
      <protection locked="0"/>
    </xf>
    <xf numFmtId="0" fontId="51" fillId="13" borderId="7" xfId="0" applyFont="1" applyFill="1" applyBorder="1" applyAlignment="1" applyProtection="1">
      <alignment horizontal="center" vertical="center" wrapText="1"/>
      <protection locked="0"/>
    </xf>
    <xf numFmtId="0" fontId="51" fillId="13" borderId="11" xfId="0" applyFont="1" applyFill="1" applyBorder="1" applyAlignment="1" applyProtection="1">
      <alignment horizontal="center" vertical="center" wrapText="1"/>
      <protection locked="0"/>
    </xf>
    <xf numFmtId="0" fontId="29" fillId="34" borderId="0" xfId="0" applyFont="1" applyFill="1" applyAlignment="1">
      <alignment horizontal="center" vertical="center" wrapText="1"/>
    </xf>
    <xf numFmtId="0" fontId="22" fillId="9" borderId="1" xfId="0" applyFont="1" applyFill="1" applyBorder="1" applyAlignment="1">
      <alignment horizontal="center" vertical="center" wrapText="1"/>
    </xf>
    <xf numFmtId="0" fontId="43" fillId="4" borderId="5" xfId="0" applyFont="1" applyFill="1" applyBorder="1" applyAlignment="1">
      <alignment horizontal="center" vertical="center" wrapText="1"/>
    </xf>
    <xf numFmtId="0" fontId="22" fillId="9" borderId="1" xfId="0" applyFont="1" applyFill="1" applyBorder="1" applyAlignment="1">
      <alignment horizontal="center"/>
    </xf>
    <xf numFmtId="0" fontId="3" fillId="27" borderId="5" xfId="0" applyFont="1" applyFill="1" applyBorder="1" applyAlignment="1">
      <alignment horizontal="center" vertical="center" wrapText="1"/>
    </xf>
    <xf numFmtId="0" fontId="38" fillId="25" borderId="5"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11" xfId="0" applyFont="1" applyFill="1" applyBorder="1" applyAlignment="1">
      <alignment horizontal="center" vertical="center"/>
    </xf>
    <xf numFmtId="0" fontId="22" fillId="9" borderId="3" xfId="0" applyFont="1" applyFill="1" applyBorder="1" applyAlignment="1">
      <alignment horizontal="center" wrapText="1"/>
    </xf>
    <xf numFmtId="0" fontId="22" fillId="9" borderId="1" xfId="0" applyFont="1" applyFill="1" applyBorder="1" applyAlignment="1">
      <alignment horizontal="center" wrapText="1"/>
    </xf>
    <xf numFmtId="0" fontId="3" fillId="40" borderId="5" xfId="0" applyFont="1" applyFill="1" applyBorder="1" applyAlignment="1" applyProtection="1">
      <alignment horizontal="center" vertical="center" wrapText="1"/>
      <protection locked="0"/>
    </xf>
    <xf numFmtId="0" fontId="3" fillId="26" borderId="5" xfId="0" applyFont="1" applyFill="1" applyBorder="1" applyAlignment="1">
      <alignment horizontal="center" vertical="center"/>
    </xf>
    <xf numFmtId="0" fontId="41" fillId="4" borderId="5" xfId="0" applyFont="1" applyFill="1" applyBorder="1" applyAlignment="1" applyProtection="1">
      <alignment horizontal="center" vertical="center" wrapText="1"/>
      <protection locked="0"/>
    </xf>
    <xf numFmtId="0" fontId="38" fillId="25" borderId="6" xfId="0" applyFont="1" applyFill="1" applyBorder="1" applyAlignment="1">
      <alignment horizontal="center" vertical="center" wrapText="1"/>
    </xf>
    <xf numFmtId="0" fontId="38" fillId="25" borderId="11" xfId="0" applyFont="1" applyFill="1" applyBorder="1" applyAlignment="1">
      <alignment horizontal="center" vertical="center" wrapText="1"/>
    </xf>
    <xf numFmtId="0" fontId="3" fillId="13" borderId="5" xfId="0" applyFont="1" applyFill="1" applyBorder="1" applyAlignment="1">
      <alignment horizontal="center" vertical="center"/>
    </xf>
    <xf numFmtId="0" fontId="77" fillId="4" borderId="6" xfId="0" applyFont="1" applyFill="1" applyBorder="1" applyAlignment="1">
      <alignment horizontal="center" vertical="center"/>
    </xf>
    <xf numFmtId="0" fontId="77" fillId="4" borderId="7" xfId="0" applyFont="1" applyFill="1" applyBorder="1" applyAlignment="1">
      <alignment horizontal="center" vertical="center"/>
    </xf>
    <xf numFmtId="0" fontId="77" fillId="4" borderId="11"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6" fillId="12" borderId="6" xfId="0" applyFont="1" applyFill="1" applyBorder="1" applyAlignment="1">
      <alignment horizontal="center" vertical="center" wrapText="1"/>
    </xf>
    <xf numFmtId="0" fontId="36" fillId="12" borderId="7" xfId="0" applyFont="1" applyFill="1" applyBorder="1" applyAlignment="1">
      <alignment horizontal="center" vertical="center" wrapText="1"/>
    </xf>
    <xf numFmtId="0" fontId="3" fillId="41" borderId="5" xfId="0" applyFont="1" applyFill="1" applyBorder="1" applyAlignment="1" applyProtection="1">
      <alignment horizontal="center" vertical="center" wrapText="1"/>
      <protection locked="0"/>
    </xf>
    <xf numFmtId="0" fontId="29" fillId="23" borderId="6" xfId="0" applyFont="1" applyFill="1" applyBorder="1" applyAlignment="1" applyProtection="1">
      <alignment horizontal="center" vertical="center"/>
      <protection locked="0"/>
    </xf>
    <xf numFmtId="0" fontId="29" fillId="23" borderId="7" xfId="0" applyFont="1" applyFill="1" applyBorder="1" applyAlignment="1" applyProtection="1">
      <alignment horizontal="center" vertical="center"/>
      <protection locked="0"/>
    </xf>
    <xf numFmtId="0" fontId="29" fillId="23" borderId="11" xfId="0" applyFont="1" applyFill="1" applyBorder="1" applyAlignment="1" applyProtection="1">
      <alignment horizontal="center" vertical="center"/>
      <protection locked="0"/>
    </xf>
    <xf numFmtId="0" fontId="2" fillId="23" borderId="6" xfId="0" applyFont="1" applyFill="1" applyBorder="1" applyAlignment="1">
      <alignment horizontal="center" vertical="center" wrapText="1"/>
    </xf>
    <xf numFmtId="0" fontId="2" fillId="23" borderId="7" xfId="0" applyFont="1" applyFill="1" applyBorder="1" applyAlignment="1">
      <alignment horizontal="center" vertical="center" wrapText="1"/>
    </xf>
    <xf numFmtId="0" fontId="2" fillId="23" borderId="11" xfId="0" applyFont="1" applyFill="1" applyBorder="1" applyAlignment="1">
      <alignment horizontal="center" vertical="center" wrapText="1"/>
    </xf>
    <xf numFmtId="0" fontId="29" fillId="12" borderId="6" xfId="0" applyFont="1" applyFill="1" applyBorder="1" applyAlignment="1">
      <alignment horizontal="center" vertical="center" wrapText="1"/>
    </xf>
    <xf numFmtId="0" fontId="29" fillId="12" borderId="7" xfId="0" applyFont="1" applyFill="1" applyBorder="1" applyAlignment="1">
      <alignment horizontal="center" vertical="center" wrapText="1"/>
    </xf>
    <xf numFmtId="177" fontId="3" fillId="13" borderId="6" xfId="0" applyNumberFormat="1" applyFont="1" applyFill="1" applyBorder="1" applyAlignment="1">
      <alignment horizontal="center" vertical="center" wrapText="1"/>
    </xf>
    <xf numFmtId="177" fontId="3" fillId="13" borderId="7" xfId="0" applyNumberFormat="1" applyFont="1" applyFill="1" applyBorder="1" applyAlignment="1">
      <alignment horizontal="center" vertical="center" wrapText="1"/>
    </xf>
    <xf numFmtId="177" fontId="3" fillId="13" borderId="11" xfId="0" applyNumberFormat="1" applyFont="1" applyFill="1" applyBorder="1" applyAlignment="1">
      <alignment horizontal="center" vertical="center" wrapText="1"/>
    </xf>
    <xf numFmtId="0" fontId="39" fillId="4" borderId="6"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9" fillId="4" borderId="11"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4" fillId="12" borderId="7" xfId="0" applyFont="1" applyFill="1" applyBorder="1" applyAlignment="1">
      <alignment horizontal="center" vertical="center" wrapText="1"/>
    </xf>
    <xf numFmtId="0" fontId="29" fillId="23" borderId="6" xfId="0" applyFont="1" applyFill="1" applyBorder="1" applyAlignment="1">
      <alignment horizontal="center" vertical="center" wrapText="1"/>
    </xf>
    <xf numFmtId="0" fontId="29" fillId="23" borderId="7" xfId="0" applyFont="1" applyFill="1" applyBorder="1" applyAlignment="1">
      <alignment horizontal="center" vertical="center" wrapText="1"/>
    </xf>
    <xf numFmtId="0" fontId="29" fillId="23" borderId="11"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7" xfId="0" applyFont="1" applyFill="1" applyBorder="1" applyAlignment="1">
      <alignment horizontal="center" vertical="center" wrapText="1"/>
    </xf>
    <xf numFmtId="0" fontId="22" fillId="9" borderId="7" xfId="0" applyFont="1" applyFill="1" applyBorder="1" applyAlignment="1">
      <alignment horizontal="center" wrapText="1"/>
    </xf>
    <xf numFmtId="0" fontId="41" fillId="27" borderId="5" xfId="0" applyFont="1" applyFill="1" applyBorder="1" applyAlignment="1" applyProtection="1">
      <alignment horizontal="center" vertical="center" wrapText="1"/>
      <protection locked="0"/>
    </xf>
    <xf numFmtId="177" fontId="41" fillId="4" borderId="7" xfId="0" applyNumberFormat="1" applyFont="1" applyFill="1" applyBorder="1" applyAlignment="1" applyProtection="1">
      <alignment horizontal="center" vertical="center"/>
      <protection locked="0"/>
    </xf>
    <xf numFmtId="0" fontId="41" fillId="4" borderId="7" xfId="0" applyFont="1" applyFill="1" applyBorder="1" applyAlignment="1" applyProtection="1">
      <alignment horizontal="center" vertical="center"/>
      <protection locked="0"/>
    </xf>
    <xf numFmtId="0" fontId="41" fillId="4" borderId="11" xfId="0" applyFont="1" applyFill="1" applyBorder="1" applyAlignment="1" applyProtection="1">
      <alignment horizontal="center" vertical="center"/>
      <protection locked="0"/>
    </xf>
    <xf numFmtId="0" fontId="41" fillId="4" borderId="6" xfId="0" applyFont="1" applyFill="1" applyBorder="1" applyAlignment="1" applyProtection="1">
      <alignment horizontal="left" vertical="top" wrapText="1"/>
      <protection locked="0"/>
    </xf>
    <xf numFmtId="0" fontId="41" fillId="4" borderId="7" xfId="0" applyFont="1" applyFill="1" applyBorder="1" applyAlignment="1" applyProtection="1">
      <alignment horizontal="left" vertical="top" wrapText="1"/>
      <protection locked="0"/>
    </xf>
    <xf numFmtId="0" fontId="41" fillId="4" borderId="11" xfId="0" applyFont="1" applyFill="1" applyBorder="1" applyAlignment="1" applyProtection="1">
      <alignment horizontal="left" vertical="top" wrapText="1"/>
      <protection locked="0"/>
    </xf>
    <xf numFmtId="177" fontId="41" fillId="4" borderId="5" xfId="0" applyNumberFormat="1" applyFont="1" applyFill="1" applyBorder="1" applyAlignment="1" applyProtection="1">
      <alignment horizontal="center" vertical="center" wrapText="1"/>
      <protection locked="0"/>
    </xf>
    <xf numFmtId="0" fontId="2" fillId="42" borderId="5" xfId="0" applyFont="1" applyFill="1" applyBorder="1" applyAlignment="1" applyProtection="1">
      <alignment horizontal="center" vertical="center" wrapText="1"/>
      <protection locked="0"/>
    </xf>
    <xf numFmtId="0" fontId="33" fillId="12" borderId="6" xfId="0" applyFont="1" applyFill="1" applyBorder="1" applyAlignment="1">
      <alignment horizontal="center" vertical="center" wrapText="1"/>
    </xf>
    <xf numFmtId="0" fontId="33" fillId="12" borderId="7" xfId="0" applyFont="1" applyFill="1" applyBorder="1" applyAlignment="1">
      <alignment horizontal="center" vertical="center" wrapText="1"/>
    </xf>
    <xf numFmtId="0" fontId="3" fillId="43" borderId="5" xfId="0" applyFont="1" applyFill="1" applyBorder="1" applyAlignment="1" applyProtection="1">
      <alignment horizontal="center" vertical="center" wrapText="1"/>
      <protection locked="0"/>
    </xf>
    <xf numFmtId="0" fontId="41" fillId="13" borderId="7" xfId="0" applyFont="1" applyFill="1" applyBorder="1" applyAlignment="1" applyProtection="1">
      <alignment horizontal="center" vertical="center"/>
      <protection locked="0"/>
    </xf>
    <xf numFmtId="0" fontId="41" fillId="13" borderId="11" xfId="0" applyFont="1" applyFill="1" applyBorder="1" applyAlignment="1" applyProtection="1">
      <alignment horizontal="center" vertical="center"/>
      <protection locked="0"/>
    </xf>
    <xf numFmtId="0" fontId="51" fillId="13" borderId="6" xfId="0" applyFont="1" applyFill="1" applyBorder="1" applyAlignment="1" applyProtection="1">
      <alignment horizontal="left" vertical="top" wrapText="1"/>
      <protection locked="0"/>
    </xf>
    <xf numFmtId="0" fontId="51" fillId="13" borderId="7" xfId="0" applyFont="1" applyFill="1" applyBorder="1" applyAlignment="1" applyProtection="1">
      <alignment horizontal="left" vertical="top" wrapText="1"/>
      <protection locked="0"/>
    </xf>
    <xf numFmtId="0" fontId="51" fillId="13" borderId="11" xfId="0" applyFont="1" applyFill="1" applyBorder="1" applyAlignment="1" applyProtection="1">
      <alignment horizontal="left" vertical="top" wrapText="1"/>
      <protection locked="0"/>
    </xf>
    <xf numFmtId="177" fontId="41" fillId="13" borderId="5" xfId="0" applyNumberFormat="1" applyFont="1" applyFill="1" applyBorder="1" applyAlignment="1" applyProtection="1">
      <alignment horizontal="center" vertical="center" wrapText="1"/>
      <protection locked="0"/>
    </xf>
    <xf numFmtId="0" fontId="41" fillId="13" borderId="6" xfId="0" applyFont="1" applyFill="1" applyBorder="1" applyAlignment="1" applyProtection="1">
      <alignment horizontal="left" vertical="top" wrapText="1"/>
      <protection locked="0"/>
    </xf>
    <xf numFmtId="0" fontId="41" fillId="13" borderId="7" xfId="0" applyFont="1" applyFill="1" applyBorder="1" applyAlignment="1" applyProtection="1">
      <alignment horizontal="left" vertical="top" wrapText="1"/>
      <protection locked="0"/>
    </xf>
    <xf numFmtId="0" fontId="41" fillId="13" borderId="11" xfId="0" applyFont="1" applyFill="1" applyBorder="1" applyAlignment="1" applyProtection="1">
      <alignment horizontal="left" vertical="top" wrapText="1"/>
      <protection locked="0"/>
    </xf>
    <xf numFmtId="0" fontId="30" fillId="37" borderId="5" xfId="0" applyFont="1" applyFill="1" applyBorder="1" applyAlignment="1" applyProtection="1">
      <alignment horizontal="center" vertical="center"/>
      <protection locked="0"/>
    </xf>
    <xf numFmtId="0" fontId="41" fillId="13" borderId="7" xfId="0" applyFont="1" applyFill="1" applyBorder="1" applyAlignment="1" applyProtection="1">
      <alignment horizontal="center" vertical="center" wrapText="1"/>
      <protection locked="0"/>
    </xf>
    <xf numFmtId="0" fontId="41" fillId="13" borderId="7" xfId="0" applyFont="1" applyFill="1" applyBorder="1" applyAlignment="1" applyProtection="1">
      <alignment horizontal="right" vertical="center" wrapText="1"/>
      <protection locked="0"/>
    </xf>
    <xf numFmtId="0" fontId="41" fillId="13" borderId="11" xfId="0" applyFont="1" applyFill="1" applyBorder="1" applyAlignment="1" applyProtection="1">
      <alignment horizontal="center" vertical="center" wrapText="1"/>
      <protection locked="0"/>
    </xf>
    <xf numFmtId="0" fontId="41" fillId="4" borderId="6" xfId="0" applyFont="1" applyFill="1" applyBorder="1" applyAlignment="1" applyProtection="1">
      <alignment horizontal="left" vertical="top"/>
      <protection locked="0"/>
    </xf>
    <xf numFmtId="0" fontId="41" fillId="4" borderId="7" xfId="0" applyFont="1" applyFill="1" applyBorder="1" applyAlignment="1" applyProtection="1">
      <alignment horizontal="left" vertical="top"/>
      <protection locked="0"/>
    </xf>
    <xf numFmtId="0" fontId="41" fillId="4" borderId="11" xfId="0" applyFont="1" applyFill="1" applyBorder="1" applyAlignment="1" applyProtection="1">
      <alignment horizontal="left" vertical="top"/>
      <protection locked="0"/>
    </xf>
    <xf numFmtId="0" fontId="41" fillId="13" borderId="6" xfId="0" applyFont="1" applyFill="1" applyBorder="1" applyAlignment="1" applyProtection="1">
      <alignment horizontal="center" vertical="center" wrapText="1"/>
      <protection locked="0"/>
    </xf>
    <xf numFmtId="0" fontId="41" fillId="4" borderId="7" xfId="0" applyFont="1" applyFill="1" applyBorder="1" applyAlignment="1" applyProtection="1">
      <alignment horizontal="center" vertical="center" wrapText="1"/>
      <protection locked="0"/>
    </xf>
    <xf numFmtId="0" fontId="41" fillId="4" borderId="7" xfId="0" applyFont="1" applyFill="1" applyBorder="1" applyAlignment="1" applyProtection="1">
      <alignment horizontal="right" vertical="center" wrapText="1"/>
      <protection locked="0"/>
    </xf>
    <xf numFmtId="0" fontId="41" fillId="4" borderId="11" xfId="0" applyFont="1" applyFill="1" applyBorder="1" applyAlignment="1" applyProtection="1">
      <alignment horizontal="center" vertical="center" wrapText="1"/>
      <protection locked="0"/>
    </xf>
    <xf numFmtId="0" fontId="41" fillId="4" borderId="6" xfId="0" applyFont="1" applyFill="1" applyBorder="1" applyAlignment="1" applyProtection="1">
      <alignment horizontal="center" vertical="center" wrapText="1"/>
      <protection locked="0"/>
    </xf>
    <xf numFmtId="0" fontId="41" fillId="4" borderId="7" xfId="0" applyFont="1" applyFill="1" applyBorder="1" applyAlignment="1" applyProtection="1">
      <alignment horizontal="left" vertical="center" wrapText="1"/>
      <protection locked="0"/>
    </xf>
    <xf numFmtId="0" fontId="41" fillId="13" borderId="6" xfId="0" applyFont="1" applyFill="1" applyBorder="1" applyAlignment="1" applyProtection="1">
      <alignment horizontal="left" vertical="top"/>
      <protection locked="0"/>
    </xf>
    <xf numFmtId="0" fontId="41" fillId="13" borderId="7" xfId="0" applyFont="1" applyFill="1" applyBorder="1" applyAlignment="1" applyProtection="1">
      <alignment horizontal="left" vertical="top"/>
      <protection locked="0"/>
    </xf>
    <xf numFmtId="0" fontId="41" fillId="13" borderId="11" xfId="0" applyFont="1" applyFill="1" applyBorder="1" applyAlignment="1" applyProtection="1">
      <alignment horizontal="left" vertical="top"/>
      <protection locked="0"/>
    </xf>
    <xf numFmtId="0" fontId="51" fillId="4" borderId="5" xfId="0" applyFont="1" applyFill="1" applyBorder="1" applyAlignment="1" applyProtection="1">
      <alignment horizontal="center" vertical="center" wrapText="1"/>
      <protection locked="0"/>
    </xf>
    <xf numFmtId="0" fontId="51" fillId="13" borderId="5" xfId="0" applyFont="1" applyFill="1" applyBorder="1" applyAlignment="1" applyProtection="1">
      <alignment horizontal="center" vertical="center" wrapText="1"/>
      <protection locked="0"/>
    </xf>
    <xf numFmtId="0" fontId="41" fillId="13" borderId="7" xfId="0" applyFont="1" applyFill="1" applyBorder="1" applyAlignment="1" applyProtection="1">
      <alignment horizontal="left" vertical="center" wrapText="1"/>
      <protection locked="0"/>
    </xf>
    <xf numFmtId="0" fontId="3" fillId="0" borderId="6"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22" fillId="9" borderId="0" xfId="0" applyFont="1" applyFill="1" applyAlignment="1">
      <alignment horizontal="right" wrapText="1"/>
    </xf>
    <xf numFmtId="0" fontId="41" fillId="4" borderId="11" xfId="0" applyFont="1" applyFill="1" applyBorder="1" applyAlignment="1" applyProtection="1">
      <alignment horizontal="right" vertical="center" wrapText="1"/>
      <protection locked="0"/>
    </xf>
    <xf numFmtId="0" fontId="41" fillId="4" borderId="6" xfId="0" applyFont="1" applyFill="1" applyBorder="1" applyAlignment="1" applyProtection="1">
      <alignment horizontal="right" vertical="center" wrapText="1"/>
      <protection locked="0"/>
    </xf>
    <xf numFmtId="0" fontId="22" fillId="9" borderId="7" xfId="0" applyFont="1" applyFill="1" applyBorder="1" applyAlignment="1">
      <alignment horizontal="center"/>
    </xf>
    <xf numFmtId="0" fontId="78" fillId="4" borderId="5" xfId="0" applyFont="1" applyFill="1" applyBorder="1" applyAlignment="1">
      <alignment horizontal="center" vertical="center" wrapText="1"/>
    </xf>
    <xf numFmtId="0" fontId="41" fillId="4" borderId="7" xfId="0" applyFont="1" applyFill="1" applyBorder="1" applyAlignment="1" applyProtection="1">
      <alignment horizontal="left" vertical="center" wrapText="1" indent="1"/>
      <protection locked="0"/>
    </xf>
    <xf numFmtId="0" fontId="41" fillId="4" borderId="11" xfId="0" applyFont="1" applyFill="1" applyBorder="1" applyAlignment="1" applyProtection="1">
      <alignment horizontal="left" vertical="center" wrapText="1" indent="1"/>
      <protection locked="0"/>
    </xf>
    <xf numFmtId="0" fontId="78" fillId="4" borderId="5" xfId="0" applyFont="1" applyFill="1" applyBorder="1" applyAlignment="1" applyProtection="1">
      <alignment horizontal="center" vertical="center" wrapText="1"/>
      <protection locked="0"/>
    </xf>
    <xf numFmtId="0" fontId="78" fillId="4" borderId="6" xfId="0" applyFont="1" applyFill="1" applyBorder="1" applyAlignment="1">
      <alignment horizontal="center" vertical="center" wrapText="1"/>
    </xf>
    <xf numFmtId="0" fontId="78" fillId="4" borderId="11" xfId="0" applyFont="1" applyFill="1" applyBorder="1" applyAlignment="1">
      <alignment horizontal="center" vertical="center" wrapText="1"/>
    </xf>
    <xf numFmtId="0" fontId="22" fillId="9" borderId="0" xfId="0" applyFont="1" applyFill="1" applyAlignment="1">
      <alignment horizontal="right"/>
    </xf>
    <xf numFmtId="0" fontId="30" fillId="27" borderId="6" xfId="0" applyFont="1" applyFill="1" applyBorder="1" applyAlignment="1" applyProtection="1">
      <alignment horizontal="center" vertical="center"/>
      <protection locked="0"/>
    </xf>
    <xf numFmtId="0" fontId="30" fillId="27" borderId="7" xfId="0" applyFont="1" applyFill="1" applyBorder="1" applyAlignment="1" applyProtection="1">
      <alignment horizontal="center" vertical="center"/>
      <protection locked="0"/>
    </xf>
    <xf numFmtId="0" fontId="30" fillId="27" borderId="11" xfId="0" applyFont="1" applyFill="1" applyBorder="1" applyAlignment="1" applyProtection="1">
      <alignment horizontal="center" vertical="center"/>
      <protection locked="0"/>
    </xf>
    <xf numFmtId="0" fontId="32" fillId="35" borderId="0" xfId="0" applyFont="1" applyFill="1" applyAlignment="1">
      <alignment horizontal="center" vertical="center"/>
    </xf>
    <xf numFmtId="0" fontId="32" fillId="35" borderId="0" xfId="0" applyFont="1" applyFill="1" applyAlignment="1">
      <alignment horizontal="center" vertical="center" wrapText="1"/>
    </xf>
    <xf numFmtId="0" fontId="72" fillId="36" borderId="0" xfId="0" applyFont="1" applyFill="1" applyAlignment="1" applyProtection="1">
      <alignment horizontal="center" vertical="center" wrapText="1"/>
      <protection locked="0"/>
    </xf>
    <xf numFmtId="0" fontId="63" fillId="25" borderId="6" xfId="0" applyFont="1" applyFill="1" applyBorder="1" applyAlignment="1">
      <alignment horizontal="center" vertical="center" wrapText="1"/>
    </xf>
    <xf numFmtId="0" fontId="63" fillId="25" borderId="7" xfId="0" applyFont="1" applyFill="1" applyBorder="1" applyAlignment="1">
      <alignment horizontal="center" vertical="center" wrapText="1"/>
    </xf>
    <xf numFmtId="0" fontId="63" fillId="25" borderId="11" xfId="0" applyFont="1" applyFill="1" applyBorder="1" applyAlignment="1">
      <alignment horizontal="center" vertical="center" wrapText="1"/>
    </xf>
    <xf numFmtId="0" fontId="71" fillId="4" borderId="6" xfId="0" applyFont="1" applyFill="1" applyBorder="1" applyAlignment="1" applyProtection="1">
      <alignment horizontal="center" vertical="center" wrapText="1"/>
      <protection locked="0"/>
    </xf>
    <xf numFmtId="0" fontId="71" fillId="4" borderId="7" xfId="0" applyFont="1" applyFill="1" applyBorder="1" applyAlignment="1" applyProtection="1">
      <alignment horizontal="center" vertical="center" wrapText="1"/>
      <protection locked="0"/>
    </xf>
    <xf numFmtId="0" fontId="71" fillId="4" borderId="11"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top" wrapText="1"/>
      <protection locked="0"/>
    </xf>
    <xf numFmtId="0" fontId="6" fillId="27" borderId="5" xfId="0" applyFont="1" applyFill="1" applyBorder="1" applyAlignment="1" applyProtection="1">
      <alignment horizontal="center" vertical="center" wrapText="1"/>
      <protection locked="0"/>
    </xf>
    <xf numFmtId="0" fontId="64" fillId="23" borderId="5" xfId="0" applyFont="1" applyFill="1" applyBorder="1" applyAlignment="1">
      <alignment horizontal="center" vertical="center" wrapText="1"/>
    </xf>
    <xf numFmtId="0" fontId="63" fillId="25" borderId="5" xfId="0" applyFont="1" applyFill="1" applyBorder="1" applyAlignment="1">
      <alignment horizontal="center" vertical="center" wrapText="1"/>
    </xf>
    <xf numFmtId="0" fontId="43" fillId="4" borderId="6" xfId="0" applyFont="1" applyFill="1" applyBorder="1" applyAlignment="1" applyProtection="1">
      <alignment horizontal="center" vertical="center" wrapText="1"/>
      <protection locked="0"/>
    </xf>
    <xf numFmtId="0" fontId="43" fillId="4" borderId="7" xfId="0" applyFont="1" applyFill="1" applyBorder="1" applyAlignment="1" applyProtection="1">
      <alignment horizontal="center" vertical="center" wrapText="1"/>
      <protection locked="0"/>
    </xf>
    <xf numFmtId="0" fontId="43" fillId="4" borderId="11" xfId="0" applyFont="1" applyFill="1" applyBorder="1" applyAlignment="1" applyProtection="1">
      <alignment horizontal="center" vertical="center" wrapText="1"/>
      <protection locked="0"/>
    </xf>
    <xf numFmtId="176" fontId="43" fillId="4" borderId="6" xfId="0" applyNumberFormat="1" applyFont="1" applyFill="1" applyBorder="1" applyAlignment="1" applyProtection="1">
      <alignment horizontal="center" vertical="center"/>
      <protection locked="0"/>
    </xf>
    <xf numFmtId="176" fontId="43" fillId="4" borderId="7" xfId="0" applyNumberFormat="1" applyFont="1" applyFill="1" applyBorder="1" applyAlignment="1" applyProtection="1">
      <alignment horizontal="center" vertical="center"/>
      <protection locked="0"/>
    </xf>
    <xf numFmtId="176" fontId="43" fillId="4" borderId="11" xfId="0" applyNumberFormat="1" applyFont="1" applyFill="1" applyBorder="1" applyAlignment="1" applyProtection="1">
      <alignment horizontal="center" vertical="center"/>
      <protection locked="0"/>
    </xf>
    <xf numFmtId="0" fontId="64" fillId="23" borderId="6" xfId="0" applyFont="1" applyFill="1" applyBorder="1" applyAlignment="1">
      <alignment horizontal="center" vertical="center" wrapText="1"/>
    </xf>
    <xf numFmtId="0" fontId="64" fillId="23" borderId="7" xfId="0" applyFont="1" applyFill="1" applyBorder="1" applyAlignment="1">
      <alignment horizontal="center" vertical="center" wrapText="1"/>
    </xf>
    <xf numFmtId="0" fontId="0" fillId="0" borderId="11" xfId="0" applyBorder="1">
      <alignment vertical="center"/>
    </xf>
    <xf numFmtId="0" fontId="69" fillId="4" borderId="6" xfId="0" applyFont="1" applyFill="1" applyBorder="1" applyAlignment="1" applyProtection="1">
      <alignment horizontal="right" vertical="center" wrapText="1"/>
      <protection locked="0"/>
    </xf>
    <xf numFmtId="0" fontId="0" fillId="0" borderId="7" xfId="0" applyBorder="1" applyAlignment="1" applyProtection="1">
      <alignment horizontal="right" vertical="center" wrapText="1"/>
      <protection locked="0"/>
    </xf>
    <xf numFmtId="0" fontId="69" fillId="4" borderId="7" xfId="0" applyFont="1" applyFill="1" applyBorder="1" applyAlignment="1">
      <alignment horizontal="left" vertical="center" wrapText="1"/>
    </xf>
    <xf numFmtId="0" fontId="0" fillId="0" borderId="11" xfId="0" applyBorder="1" applyAlignment="1">
      <alignment vertical="center" wrapText="1"/>
    </xf>
    <xf numFmtId="0" fontId="22" fillId="9" borderId="7" xfId="0" applyFont="1" applyFill="1" applyBorder="1" applyAlignment="1">
      <alignment horizontal="center" vertical="center" wrapText="1"/>
    </xf>
    <xf numFmtId="0" fontId="64" fillId="23" borderId="11" xfId="0" applyFont="1" applyFill="1" applyBorder="1" applyAlignment="1">
      <alignment horizontal="center" vertical="center" wrapText="1"/>
    </xf>
    <xf numFmtId="0" fontId="68" fillId="4" borderId="3" xfId="0" applyFont="1" applyFill="1" applyBorder="1" applyAlignment="1" applyProtection="1">
      <alignment horizontal="right" vertical="center" wrapText="1"/>
      <protection locked="0"/>
    </xf>
    <xf numFmtId="0" fontId="68" fillId="4" borderId="3" xfId="0" applyFont="1" applyFill="1" applyBorder="1" applyAlignment="1">
      <alignment horizontal="left" vertical="center" wrapText="1"/>
    </xf>
    <xf numFmtId="0" fontId="68" fillId="4" borderId="8" xfId="0" applyFont="1" applyFill="1" applyBorder="1" applyAlignment="1">
      <alignment horizontal="left" vertical="center" wrapText="1"/>
    </xf>
    <xf numFmtId="0" fontId="22" fillId="9" borderId="0" xfId="0" applyFont="1" applyFill="1" applyAlignment="1">
      <alignment horizontal="center" vertical="top" wrapText="1"/>
    </xf>
    <xf numFmtId="0" fontId="27" fillId="26" borderId="5" xfId="0" applyFont="1" applyFill="1" applyBorder="1" applyAlignment="1">
      <alignment horizontal="center" vertical="center" wrapText="1"/>
    </xf>
    <xf numFmtId="0" fontId="61" fillId="25" borderId="5" xfId="0" applyFont="1" applyFill="1" applyBorder="1" applyAlignment="1">
      <alignment horizontal="center" vertical="center" wrapText="1"/>
    </xf>
    <xf numFmtId="0" fontId="75" fillId="27" borderId="5" xfId="0" applyFont="1" applyFill="1" applyBorder="1" applyAlignment="1">
      <alignment horizontal="center" vertical="center" wrapText="1"/>
    </xf>
    <xf numFmtId="0" fontId="51" fillId="4" borderId="59" xfId="0" applyFont="1" applyFill="1" applyBorder="1" applyAlignment="1" applyProtection="1">
      <alignment horizontal="center" vertical="center" wrapText="1"/>
      <protection locked="0"/>
    </xf>
    <xf numFmtId="0" fontId="51" fillId="4" borderId="60" xfId="0" applyFont="1" applyFill="1" applyBorder="1" applyAlignment="1" applyProtection="1">
      <alignment horizontal="center" vertical="center" wrapText="1"/>
      <protection locked="0"/>
    </xf>
    <xf numFmtId="0" fontId="29" fillId="34" borderId="6" xfId="0" applyFont="1" applyFill="1" applyBorder="1" applyAlignment="1">
      <alignment horizontal="center" vertical="center" wrapText="1"/>
    </xf>
    <xf numFmtId="0" fontId="29" fillId="34" borderId="7" xfId="0" applyFont="1" applyFill="1" applyBorder="1" applyAlignment="1">
      <alignment horizontal="center" vertical="center" wrapText="1"/>
    </xf>
    <xf numFmtId="0" fontId="29" fillId="34" borderId="11" xfId="0" applyFont="1" applyFill="1" applyBorder="1" applyAlignment="1">
      <alignment horizontal="center" vertical="center" wrapText="1"/>
    </xf>
    <xf numFmtId="0" fontId="22" fillId="9" borderId="61" xfId="0" applyFont="1" applyFill="1" applyBorder="1" applyAlignment="1">
      <alignment horizontal="left" wrapText="1"/>
    </xf>
    <xf numFmtId="49" fontId="3" fillId="4" borderId="2" xfId="0" applyNumberFormat="1" applyFont="1" applyFill="1" applyBorder="1" applyAlignment="1" applyProtection="1">
      <alignment horizontal="center" vertical="center"/>
      <protection locked="0"/>
    </xf>
    <xf numFmtId="49" fontId="3" fillId="4" borderId="3" xfId="0" applyNumberFormat="1" applyFont="1" applyFill="1" applyBorder="1" applyAlignment="1" applyProtection="1">
      <alignment horizontal="center" vertical="center"/>
      <protection locked="0"/>
    </xf>
    <xf numFmtId="49" fontId="3" fillId="4" borderId="8" xfId="0" applyNumberFormat="1" applyFont="1" applyFill="1" applyBorder="1" applyAlignment="1" applyProtection="1">
      <alignment horizontal="center" vertical="center"/>
      <protection locked="0"/>
    </xf>
    <xf numFmtId="49" fontId="3" fillId="4" borderId="6" xfId="0" applyNumberFormat="1" applyFont="1" applyFill="1" applyBorder="1" applyAlignment="1" applyProtection="1">
      <alignment horizontal="center" vertical="center"/>
      <protection locked="0"/>
    </xf>
    <xf numFmtId="49" fontId="3" fillId="4" borderId="7" xfId="0" applyNumberFormat="1" applyFont="1" applyFill="1" applyBorder="1" applyAlignment="1" applyProtection="1">
      <alignment horizontal="center" vertical="center"/>
      <protection locked="0"/>
    </xf>
    <xf numFmtId="49" fontId="3" fillId="4" borderId="11" xfId="0" applyNumberFormat="1" applyFont="1" applyFill="1" applyBorder="1" applyAlignment="1" applyProtection="1">
      <alignment horizontal="center" vertical="center"/>
      <protection locked="0"/>
    </xf>
    <xf numFmtId="0" fontId="6" fillId="4" borderId="7" xfId="0" applyFont="1" applyFill="1" applyBorder="1" applyAlignment="1" applyProtection="1">
      <alignment horizontal="center" vertical="center" wrapText="1"/>
      <protection locked="0"/>
    </xf>
    <xf numFmtId="0" fontId="29" fillId="38" borderId="6" xfId="0" applyFont="1" applyFill="1" applyBorder="1" applyAlignment="1">
      <alignment horizontal="center" vertical="center"/>
    </xf>
    <xf numFmtId="0" fontId="29" fillId="38" borderId="7" xfId="0" applyFont="1" applyFill="1" applyBorder="1" applyAlignment="1">
      <alignment horizontal="center" vertical="center"/>
    </xf>
    <xf numFmtId="0" fontId="29" fillId="38" borderId="11" xfId="0" applyFont="1" applyFill="1" applyBorder="1" applyAlignment="1">
      <alignment horizontal="center" vertical="center"/>
    </xf>
    <xf numFmtId="0" fontId="43" fillId="0" borderId="19" xfId="0" applyFont="1" applyBorder="1" applyAlignment="1">
      <alignment horizontal="center" vertical="center" wrapText="1" shrinkToFit="1"/>
    </xf>
    <xf numFmtId="0" fontId="43" fillId="0" borderId="0" xfId="0" applyFont="1" applyAlignment="1">
      <alignment horizontal="center" vertical="center" wrapText="1" shrinkToFit="1"/>
    </xf>
    <xf numFmtId="0" fontId="43" fillId="0" borderId="20" xfId="0" applyFont="1" applyBorder="1" applyAlignment="1">
      <alignment horizontal="center" vertical="center" wrapText="1" shrinkToFit="1"/>
    </xf>
    <xf numFmtId="0" fontId="43" fillId="0" borderId="4" xfId="0" applyFont="1" applyBorder="1" applyAlignment="1">
      <alignment horizontal="center" vertical="center" wrapText="1" shrinkToFit="1"/>
    </xf>
    <xf numFmtId="0" fontId="43" fillId="0" borderId="1" xfId="0" applyFont="1" applyBorder="1" applyAlignment="1">
      <alignment horizontal="center" vertical="center" wrapText="1" shrinkToFit="1"/>
    </xf>
    <xf numFmtId="0" fontId="43" fillId="0" borderId="10" xfId="0" applyFont="1" applyBorder="1" applyAlignment="1">
      <alignment horizontal="center" vertical="center" wrapText="1" shrinkToFit="1"/>
    </xf>
    <xf numFmtId="0" fontId="22" fillId="9" borderId="1" xfId="0" applyFont="1" applyFill="1" applyBorder="1" applyAlignment="1">
      <alignment horizontal="left" wrapText="1"/>
    </xf>
    <xf numFmtId="0" fontId="41" fillId="4" borderId="6" xfId="0" applyFont="1" applyFill="1" applyBorder="1" applyAlignment="1" applyProtection="1">
      <alignment horizontal="center" vertical="center"/>
      <protection locked="0"/>
    </xf>
    <xf numFmtId="0" fontId="41" fillId="13" borderId="6" xfId="0" applyFont="1" applyFill="1" applyBorder="1" applyAlignment="1" applyProtection="1">
      <alignment horizontal="center" vertical="center"/>
      <protection locked="0"/>
    </xf>
    <xf numFmtId="0" fontId="56" fillId="0" borderId="0" xfId="0" applyFont="1" applyAlignment="1">
      <alignment horizontal="center" vertical="top"/>
    </xf>
    <xf numFmtId="0" fontId="56" fillId="0" borderId="1" xfId="0" applyFont="1" applyBorder="1" applyAlignment="1">
      <alignment horizontal="center" vertical="top"/>
    </xf>
    <xf numFmtId="0" fontId="37" fillId="0" borderId="47" xfId="0" applyFont="1" applyBorder="1" applyAlignment="1">
      <alignment horizontal="center" vertical="top" wrapText="1"/>
    </xf>
    <xf numFmtId="0" fontId="37" fillId="0" borderId="48" xfId="0" applyFont="1" applyBorder="1" applyAlignment="1">
      <alignment horizontal="center" vertical="top" wrapText="1"/>
    </xf>
    <xf numFmtId="0" fontId="37" fillId="0" borderId="49" xfId="0" applyFont="1" applyBorder="1" applyAlignment="1">
      <alignment horizontal="center" vertical="top" wrapText="1"/>
    </xf>
    <xf numFmtId="0" fontId="16" fillId="0" borderId="38" xfId="0" applyFont="1" applyBorder="1" applyAlignment="1">
      <alignment horizontal="center" vertical="top" wrapText="1"/>
    </xf>
    <xf numFmtId="0" fontId="16" fillId="0" borderId="42" xfId="0" applyFont="1" applyBorder="1" applyAlignment="1">
      <alignment horizontal="center" vertical="top" wrapText="1"/>
    </xf>
    <xf numFmtId="0" fontId="16" fillId="0" borderId="38" xfId="0" applyFont="1" applyBorder="1" applyAlignment="1">
      <alignment horizontal="center" vertical="center" wrapText="1"/>
    </xf>
    <xf numFmtId="0" fontId="16" fillId="0" borderId="42" xfId="0" applyFont="1" applyBorder="1" applyAlignment="1">
      <alignment horizontal="center" vertical="center" wrapText="1"/>
    </xf>
    <xf numFmtId="0" fontId="3" fillId="0" borderId="0" xfId="0" applyFont="1" applyAlignment="1">
      <alignment horizontal="center" vertical="center" wrapText="1"/>
    </xf>
    <xf numFmtId="0" fontId="41" fillId="13" borderId="0" xfId="0" applyFont="1" applyFill="1" applyAlignment="1">
      <alignment horizontal="center" vertical="center" wrapText="1"/>
    </xf>
    <xf numFmtId="0" fontId="3" fillId="0" borderId="5" xfId="0" applyFont="1" applyBorder="1" applyAlignment="1">
      <alignment horizontal="center" vertical="top" wrapText="1"/>
    </xf>
    <xf numFmtId="0" fontId="3" fillId="0" borderId="0" xfId="0" applyFont="1" applyAlignment="1">
      <alignment horizontal="center" vertical="center"/>
    </xf>
    <xf numFmtId="0" fontId="41" fillId="0" borderId="0" xfId="0" applyFont="1" applyAlignment="1">
      <alignment horizontal="center" vertical="center" wrapText="1"/>
    </xf>
    <xf numFmtId="0" fontId="48" fillId="0" borderId="37" xfId="0" applyFont="1" applyBorder="1" applyAlignment="1">
      <alignment horizontal="center" vertical="center" wrapText="1"/>
    </xf>
    <xf numFmtId="0" fontId="46" fillId="0" borderId="37" xfId="1" applyBorder="1" applyAlignment="1">
      <alignment horizontal="center" vertical="center" wrapText="1"/>
    </xf>
    <xf numFmtId="0" fontId="46" fillId="0" borderId="39" xfId="1" applyBorder="1" applyAlignment="1">
      <alignment horizontal="center" vertical="center" wrapText="1"/>
    </xf>
    <xf numFmtId="0" fontId="48" fillId="0" borderId="41" xfId="0" applyFont="1" applyBorder="1" applyAlignment="1">
      <alignment horizontal="center" vertical="center"/>
    </xf>
    <xf numFmtId="0" fontId="0" fillId="0" borderId="36" xfId="0" applyBorder="1" applyAlignment="1">
      <alignment horizontal="center" vertical="top" wrapText="1"/>
    </xf>
    <xf numFmtId="0" fontId="0" fillId="0" borderId="42" xfId="0" applyBorder="1" applyAlignment="1">
      <alignment horizontal="center" vertical="top" wrapText="1"/>
    </xf>
    <xf numFmtId="0" fontId="0" fillId="0" borderId="38" xfId="0" applyBorder="1" applyAlignment="1">
      <alignment horizontal="center" vertical="top" wrapText="1"/>
    </xf>
    <xf numFmtId="0" fontId="46" fillId="0" borderId="38" xfId="1" applyBorder="1" applyAlignment="1">
      <alignment horizontal="center" vertical="top" wrapText="1"/>
    </xf>
    <xf numFmtId="0" fontId="46" fillId="0" borderId="36" xfId="1" applyBorder="1" applyAlignment="1">
      <alignment horizontal="center" vertical="top" wrapText="1"/>
    </xf>
    <xf numFmtId="0" fontId="46" fillId="0" borderId="42" xfId="1" applyBorder="1" applyAlignment="1">
      <alignment horizontal="center" vertical="top" wrapText="1"/>
    </xf>
    <xf numFmtId="0" fontId="97" fillId="45" borderId="5" xfId="0" applyFont="1" applyFill="1" applyBorder="1" applyAlignment="1" applyProtection="1">
      <alignment horizontal="center" vertical="center" wrapText="1"/>
      <protection locked="0"/>
    </xf>
    <xf numFmtId="178" fontId="98" fillId="0" borderId="5" xfId="0" applyNumberFormat="1" applyFont="1" applyBorder="1" applyAlignment="1" applyProtection="1">
      <alignment horizontal="center" vertical="top" wrapText="1"/>
      <protection locked="0"/>
    </xf>
    <xf numFmtId="0" fontId="97" fillId="46" borderId="5" xfId="0" applyFont="1" applyFill="1" applyBorder="1" applyAlignment="1" applyProtection="1">
      <alignment horizontal="center" vertical="top" wrapText="1"/>
      <protection locked="0"/>
    </xf>
    <xf numFmtId="178" fontId="99" fillId="0" borderId="5" xfId="0" applyNumberFormat="1" applyFont="1" applyBorder="1" applyAlignment="1" applyProtection="1">
      <alignment horizontal="center" vertical="top" wrapText="1"/>
      <protection locked="0"/>
    </xf>
    <xf numFmtId="0" fontId="3" fillId="4" borderId="5" xfId="0" applyFont="1" applyFill="1" applyBorder="1" applyAlignment="1" applyProtection="1">
      <alignment horizontal="left" vertical="top" wrapText="1"/>
      <protection locked="0"/>
    </xf>
    <xf numFmtId="177" fontId="3" fillId="4" borderId="5" xfId="0" applyNumberFormat="1" applyFont="1" applyFill="1" applyBorder="1" applyAlignment="1" applyProtection="1">
      <alignment horizontal="center" vertical="center" wrapText="1"/>
      <protection locked="0"/>
    </xf>
    <xf numFmtId="0" fontId="3" fillId="13" borderId="6" xfId="0" applyFont="1" applyFill="1" applyBorder="1" applyAlignment="1" applyProtection="1">
      <alignment horizontal="center" vertical="top" wrapText="1"/>
      <protection locked="0"/>
    </xf>
    <xf numFmtId="0" fontId="3" fillId="13" borderId="7" xfId="0" applyFont="1" applyFill="1" applyBorder="1" applyAlignment="1" applyProtection="1">
      <alignment horizontal="center" vertical="top" wrapText="1"/>
      <protection locked="0"/>
    </xf>
    <xf numFmtId="0" fontId="3" fillId="13" borderId="11" xfId="0" applyFont="1" applyFill="1" applyBorder="1" applyAlignment="1" applyProtection="1">
      <alignment horizontal="center" vertical="top" wrapText="1"/>
      <protection locked="0"/>
    </xf>
    <xf numFmtId="0" fontId="3" fillId="13" borderId="5" xfId="0" applyFont="1" applyFill="1" applyBorder="1" applyAlignment="1" applyProtection="1">
      <alignment horizontal="left" vertical="top" wrapText="1"/>
      <protection locked="0"/>
    </xf>
    <xf numFmtId="177" fontId="3" fillId="13" borderId="5" xfId="0" applyNumberFormat="1" applyFont="1" applyFill="1" applyBorder="1" applyAlignment="1" applyProtection="1">
      <alignment horizontal="center" vertical="center" wrapText="1"/>
      <protection locked="0"/>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top" wrapText="1"/>
      <protection locked="0"/>
    </xf>
    <xf numFmtId="0" fontId="43" fillId="13" borderId="5" xfId="0" applyFont="1" applyFill="1" applyBorder="1" applyAlignment="1" applyProtection="1">
      <alignment horizontal="left" vertical="top" wrapText="1"/>
      <protection locked="0"/>
    </xf>
    <xf numFmtId="0" fontId="41" fillId="25" borderId="5" xfId="0" applyFont="1" applyFill="1" applyBorder="1" applyAlignment="1">
      <alignment horizontal="center" vertical="center" wrapText="1"/>
    </xf>
    <xf numFmtId="0" fontId="45" fillId="23" borderId="5" xfId="0" applyFont="1" applyFill="1" applyBorder="1" applyAlignment="1">
      <alignment horizontal="center" vertical="center" wrapText="1"/>
    </xf>
    <xf numFmtId="0" fontId="29" fillId="23" borderId="0" xfId="0" applyFont="1" applyFill="1" applyAlignment="1">
      <alignment horizontal="center" vertical="center" wrapText="1"/>
    </xf>
    <xf numFmtId="177" fontId="3" fillId="27" borderId="0" xfId="0" applyNumberFormat="1" applyFont="1" applyFill="1" applyAlignment="1">
      <alignment horizontal="center" vertical="center" wrapText="1"/>
    </xf>
    <xf numFmtId="0" fontId="3" fillId="27" borderId="0" xfId="0" applyFont="1" applyFill="1" applyAlignment="1" applyProtection="1">
      <alignment horizontal="center" vertical="center" wrapText="1"/>
      <protection locked="0"/>
    </xf>
    <xf numFmtId="0" fontId="3" fillId="13" borderId="5" xfId="0" applyFont="1" applyFill="1" applyBorder="1" applyAlignment="1">
      <alignment horizontal="center" vertical="top" wrapText="1"/>
    </xf>
    <xf numFmtId="0" fontId="3" fillId="13" borderId="5" xfId="0" applyFont="1" applyFill="1" applyBorder="1" applyAlignment="1" applyProtection="1">
      <alignment horizontal="center" vertical="top" wrapText="1"/>
      <protection locked="0"/>
    </xf>
    <xf numFmtId="177" fontId="3" fillId="13" borderId="5" xfId="0" applyNumberFormat="1" applyFont="1" applyFill="1" applyBorder="1" applyAlignment="1">
      <alignment horizontal="center" vertical="center" wrapText="1"/>
    </xf>
    <xf numFmtId="0" fontId="3" fillId="4" borderId="5" xfId="0" applyFont="1" applyFill="1" applyBorder="1" applyAlignment="1">
      <alignment horizontal="center" vertical="top" wrapText="1"/>
    </xf>
    <xf numFmtId="177" fontId="3" fillId="4" borderId="5" xfId="0" applyNumberFormat="1" applyFont="1" applyFill="1" applyBorder="1" applyAlignment="1">
      <alignment horizontal="center" vertical="center" wrapText="1"/>
    </xf>
    <xf numFmtId="0" fontId="29" fillId="28" borderId="0" xfId="0" applyFont="1" applyFill="1" applyAlignment="1">
      <alignment horizontal="center" vertical="center" wrapText="1"/>
    </xf>
    <xf numFmtId="0" fontId="96" fillId="10" borderId="4" xfId="0" applyFont="1" applyFill="1" applyBorder="1" applyAlignment="1">
      <alignment horizontal="center" vertical="center" wrapText="1"/>
    </xf>
    <xf numFmtId="0" fontId="96" fillId="10" borderId="1" xfId="0" applyFont="1" applyFill="1" applyBorder="1" applyAlignment="1">
      <alignment horizontal="center" vertical="center" wrapText="1"/>
    </xf>
    <xf numFmtId="0" fontId="95" fillId="10" borderId="5" xfId="0" applyFont="1" applyFill="1" applyBorder="1" applyAlignment="1" applyProtection="1">
      <alignment horizontal="center" vertical="center"/>
      <protection locked="0"/>
    </xf>
    <xf numFmtId="0" fontId="96" fillId="10" borderId="1" xfId="0" applyFont="1" applyFill="1" applyBorder="1" applyAlignment="1">
      <alignment horizontal="center" vertical="top" wrapText="1"/>
    </xf>
    <xf numFmtId="0" fontId="96" fillId="10" borderId="10" xfId="0" applyFont="1" applyFill="1" applyBorder="1" applyAlignment="1">
      <alignment horizontal="center" vertical="top" wrapText="1"/>
    </xf>
    <xf numFmtId="0" fontId="97" fillId="47" borderId="2" xfId="0" applyFont="1" applyFill="1" applyBorder="1" applyAlignment="1" applyProtection="1">
      <alignment horizontal="center" vertical="top" wrapText="1"/>
      <protection locked="0"/>
    </xf>
    <xf numFmtId="0" fontId="97" fillId="47" borderId="3" xfId="0" applyFont="1" applyFill="1" applyBorder="1" applyAlignment="1" applyProtection="1">
      <alignment horizontal="center" vertical="top" wrapText="1"/>
      <protection locked="0"/>
    </xf>
    <xf numFmtId="178" fontId="97" fillId="0" borderId="3" xfId="0" applyNumberFormat="1" applyFont="1" applyBorder="1" applyAlignment="1">
      <alignment horizontal="center" vertical="top" wrapText="1"/>
    </xf>
    <xf numFmtId="178" fontId="97" fillId="0" borderId="8" xfId="0" applyNumberFormat="1" applyFont="1" applyBorder="1" applyAlignment="1">
      <alignment horizontal="center" vertical="top" wrapText="1"/>
    </xf>
    <xf numFmtId="0" fontId="3" fillId="0" borderId="5" xfId="2" applyFont="1" applyBorder="1" applyAlignment="1" applyProtection="1">
      <alignment horizontal="center" vertical="top" wrapText="1"/>
      <protection locked="0"/>
    </xf>
    <xf numFmtId="0" fontId="16" fillId="4" borderId="5" xfId="2" applyFill="1" applyBorder="1" applyAlignment="1" applyProtection="1">
      <alignment horizontal="center" vertical="center"/>
      <protection locked="0"/>
    </xf>
    <xf numFmtId="0" fontId="3" fillId="0" borderId="5" xfId="0" applyFont="1" applyBorder="1" applyAlignment="1" applyProtection="1">
      <alignment horizontal="center" vertical="top" wrapText="1"/>
      <protection locked="0"/>
    </xf>
    <xf numFmtId="0" fontId="3" fillId="0" borderId="5" xfId="0" applyFont="1" applyBorder="1" applyAlignment="1" applyProtection="1">
      <alignment horizontal="left" vertical="top" wrapText="1"/>
      <protection locked="0"/>
    </xf>
    <xf numFmtId="0" fontId="29" fillId="23" borderId="4" xfId="2" applyFont="1" applyFill="1" applyBorder="1" applyAlignment="1">
      <alignment horizontal="center" vertical="center" wrapText="1"/>
    </xf>
    <xf numFmtId="0" fontId="29" fillId="23" borderId="10" xfId="2" applyFont="1" applyFill="1" applyBorder="1" applyAlignment="1">
      <alignment horizontal="center" vertical="center" wrapText="1"/>
    </xf>
    <xf numFmtId="0" fontId="3" fillId="4" borderId="5" xfId="2" applyFont="1" applyFill="1" applyBorder="1" applyAlignment="1" applyProtection="1">
      <alignment horizontal="center" vertical="center" wrapText="1"/>
      <protection locked="0"/>
    </xf>
    <xf numFmtId="0" fontId="22" fillId="9" borderId="7" xfId="2" applyFont="1" applyFill="1" applyBorder="1" applyAlignment="1">
      <alignment horizontal="center" wrapText="1"/>
    </xf>
    <xf numFmtId="0" fontId="29" fillId="24" borderId="0" xfId="2" applyFont="1" applyFill="1" applyAlignment="1">
      <alignment horizontal="center" vertical="center"/>
    </xf>
    <xf numFmtId="0" fontId="3" fillId="25" borderId="5" xfId="0" applyFont="1" applyFill="1" applyBorder="1" applyAlignment="1">
      <alignment horizontal="center" vertical="center"/>
    </xf>
    <xf numFmtId="0" fontId="29" fillId="23" borderId="6" xfId="2" applyFont="1" applyFill="1" applyBorder="1" applyAlignment="1">
      <alignment horizontal="center" vertical="center" wrapText="1"/>
    </xf>
    <xf numFmtId="0" fontId="29" fillId="23" borderId="11" xfId="2" applyFont="1" applyFill="1" applyBorder="1" applyAlignment="1">
      <alignment horizontal="center" vertical="center" wrapText="1"/>
    </xf>
    <xf numFmtId="0" fontId="3" fillId="26" borderId="6" xfId="0" applyFont="1" applyFill="1" applyBorder="1" applyAlignment="1">
      <alignment horizontal="center" vertical="center" wrapText="1"/>
    </xf>
    <xf numFmtId="0" fontId="3" fillId="26" borderId="11" xfId="0" applyFont="1" applyFill="1" applyBorder="1" applyAlignment="1">
      <alignment horizontal="center" vertical="center" wrapText="1"/>
    </xf>
    <xf numFmtId="0" fontId="3" fillId="4" borderId="5" xfId="0" applyFont="1" applyFill="1" applyBorder="1" applyAlignment="1" applyProtection="1">
      <alignment horizontal="center" vertical="center"/>
      <protection locked="0"/>
    </xf>
    <xf numFmtId="0" fontId="38" fillId="25" borderId="5" xfId="0" applyFont="1" applyFill="1" applyBorder="1" applyAlignment="1">
      <alignment horizontal="center" vertical="center"/>
    </xf>
    <xf numFmtId="0" fontId="39" fillId="27" borderId="5" xfId="0" applyFont="1" applyFill="1" applyBorder="1" applyAlignment="1">
      <alignment horizontal="center" vertical="center"/>
    </xf>
    <xf numFmtId="0" fontId="3" fillId="4" borderId="6" xfId="2" applyFont="1" applyFill="1" applyBorder="1" applyAlignment="1" applyProtection="1">
      <alignment horizontal="center" vertical="center" wrapText="1"/>
      <protection locked="0"/>
    </xf>
    <xf numFmtId="0" fontId="3" fillId="4" borderId="7" xfId="2" applyFont="1" applyFill="1" applyBorder="1" applyAlignment="1" applyProtection="1">
      <alignment horizontal="center" vertical="center" wrapText="1"/>
      <protection locked="0"/>
    </xf>
    <xf numFmtId="0" fontId="3" fillId="4" borderId="11" xfId="2" applyFont="1" applyFill="1" applyBorder="1" applyAlignment="1" applyProtection="1">
      <alignment horizontal="center" vertical="center" wrapText="1"/>
      <protection locked="0"/>
    </xf>
    <xf numFmtId="0" fontId="29" fillId="23" borderId="7" xfId="2" applyFont="1" applyFill="1" applyBorder="1" applyAlignment="1">
      <alignment horizontal="center" vertical="center" wrapText="1"/>
    </xf>
    <xf numFmtId="0" fontId="3" fillId="13" borderId="6" xfId="2" applyFont="1" applyFill="1" applyBorder="1" applyAlignment="1" applyProtection="1">
      <alignment horizontal="center" vertical="center" wrapText="1"/>
      <protection locked="0"/>
    </xf>
    <xf numFmtId="0" fontId="3" fillId="13" borderId="7" xfId="2" applyFont="1" applyFill="1" applyBorder="1" applyAlignment="1" applyProtection="1">
      <alignment horizontal="center" vertical="center" wrapText="1"/>
      <protection locked="0"/>
    </xf>
    <xf numFmtId="0" fontId="3" fillId="13" borderId="11" xfId="2" applyFont="1" applyFill="1" applyBorder="1" applyAlignment="1" applyProtection="1">
      <alignment horizontal="center" vertical="center" wrapText="1"/>
      <protection locked="0"/>
    </xf>
    <xf numFmtId="0" fontId="29" fillId="23" borderId="5" xfId="2" applyFont="1" applyFill="1" applyBorder="1" applyAlignment="1">
      <alignment horizontal="center" vertical="center" wrapText="1"/>
    </xf>
    <xf numFmtId="0" fontId="3" fillId="13" borderId="5" xfId="2" applyFont="1" applyFill="1" applyBorder="1" applyAlignment="1" applyProtection="1">
      <alignment horizontal="center" vertical="center" wrapText="1"/>
      <protection locked="0"/>
    </xf>
    <xf numFmtId="0" fontId="37" fillId="4" borderId="5" xfId="2" applyFont="1" applyFill="1" applyBorder="1" applyProtection="1">
      <alignment vertical="center"/>
      <protection locked="0"/>
    </xf>
    <xf numFmtId="0" fontId="3" fillId="0" borderId="6" xfId="2" applyFont="1" applyBorder="1" applyAlignment="1" applyProtection="1">
      <alignment horizontal="center" vertical="center" wrapText="1"/>
      <protection locked="0"/>
    </xf>
    <xf numFmtId="0" fontId="3" fillId="0" borderId="7" xfId="2" applyFont="1" applyBorder="1" applyAlignment="1" applyProtection="1">
      <alignment horizontal="center" vertical="center" wrapText="1"/>
      <protection locked="0"/>
    </xf>
    <xf numFmtId="0" fontId="3" fillId="0" borderId="11" xfId="2" applyFont="1" applyBorder="1" applyAlignment="1" applyProtection="1">
      <alignment horizontal="center" vertical="center" wrapText="1"/>
      <protection locked="0"/>
    </xf>
    <xf numFmtId="0" fontId="3" fillId="0" borderId="5" xfId="2" applyFont="1" applyBorder="1" applyAlignment="1" applyProtection="1">
      <alignment horizontal="center" vertical="center" wrapText="1"/>
      <protection locked="0"/>
    </xf>
    <xf numFmtId="0" fontId="3" fillId="4" borderId="5" xfId="2"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176" fontId="3" fillId="0" borderId="6" xfId="2" applyNumberFormat="1" applyFont="1" applyBorder="1" applyAlignment="1" applyProtection="1">
      <alignment horizontal="center" vertical="center" wrapText="1"/>
      <protection locked="0"/>
    </xf>
    <xf numFmtId="176" fontId="3" fillId="0" borderId="7" xfId="2" applyNumberFormat="1" applyFont="1" applyBorder="1" applyAlignment="1" applyProtection="1">
      <alignment horizontal="center" vertical="center" wrapText="1"/>
      <protection locked="0"/>
    </xf>
    <xf numFmtId="176" fontId="3" fillId="0" borderId="11" xfId="2" applyNumberFormat="1" applyFont="1" applyBorder="1" applyAlignment="1" applyProtection="1">
      <alignment horizontal="center" vertical="center" wrapText="1"/>
      <protection locked="0"/>
    </xf>
    <xf numFmtId="0" fontId="41" fillId="0" borderId="6" xfId="0" applyFont="1" applyBorder="1" applyAlignment="1" applyProtection="1">
      <alignment horizontal="center" vertical="center"/>
      <protection locked="0"/>
    </xf>
    <xf numFmtId="0" fontId="41" fillId="0" borderId="11" xfId="0" applyFont="1" applyBorder="1" applyAlignment="1" applyProtection="1">
      <alignment horizontal="center" vertical="center"/>
      <protection locked="0"/>
    </xf>
    <xf numFmtId="0" fontId="29" fillId="10" borderId="0" xfId="2" applyFont="1" applyFill="1" applyAlignment="1">
      <alignment horizontal="center" vertical="center"/>
    </xf>
    <xf numFmtId="0" fontId="29" fillId="10" borderId="0" xfId="0" applyFont="1" applyFill="1" applyAlignment="1">
      <alignment horizontal="center" vertical="center" wrapText="1"/>
    </xf>
    <xf numFmtId="0" fontId="3" fillId="25" borderId="5" xfId="0" applyFont="1" applyFill="1" applyBorder="1" applyAlignment="1" applyProtection="1">
      <alignment horizontal="center" vertical="center"/>
      <protection locked="0"/>
    </xf>
    <xf numFmtId="0" fontId="30" fillId="4" borderId="22" xfId="2" applyFont="1" applyFill="1" applyBorder="1" applyAlignment="1" applyProtection="1">
      <alignment horizontal="center" vertical="center"/>
      <protection locked="0"/>
    </xf>
    <xf numFmtId="0" fontId="30" fillId="4" borderId="34" xfId="2" applyFont="1" applyFill="1" applyBorder="1" applyAlignment="1" applyProtection="1">
      <alignment horizontal="center" vertical="center"/>
      <protection locked="0"/>
    </xf>
    <xf numFmtId="0" fontId="30" fillId="4" borderId="35" xfId="2" applyFont="1" applyFill="1" applyBorder="1" applyAlignment="1" applyProtection="1">
      <alignment horizontal="center" vertical="center"/>
      <protection locked="0"/>
    </xf>
    <xf numFmtId="0" fontId="30" fillId="4" borderId="23" xfId="2" applyFont="1" applyFill="1" applyBorder="1" applyAlignment="1" applyProtection="1">
      <alignment horizontal="left" vertical="center"/>
      <protection locked="0"/>
    </xf>
    <xf numFmtId="0" fontId="30" fillId="4" borderId="23" xfId="2" applyFont="1" applyFill="1" applyBorder="1" applyAlignment="1" applyProtection="1">
      <alignment horizontal="center" vertical="center"/>
      <protection locked="0"/>
    </xf>
    <xf numFmtId="0" fontId="30" fillId="13" borderId="22" xfId="2" applyFont="1" applyFill="1" applyBorder="1" applyAlignment="1" applyProtection="1">
      <alignment horizontal="center" vertical="center"/>
      <protection locked="0"/>
    </xf>
    <xf numFmtId="0" fontId="30" fillId="13" borderId="34" xfId="2" applyFont="1" applyFill="1" applyBorder="1" applyAlignment="1" applyProtection="1">
      <alignment horizontal="center" vertical="center"/>
      <protection locked="0"/>
    </xf>
    <xf numFmtId="0" fontId="30" fillId="13" borderId="35" xfId="2" applyFont="1" applyFill="1" applyBorder="1" applyAlignment="1" applyProtection="1">
      <alignment horizontal="center" vertical="center"/>
      <protection locked="0"/>
    </xf>
    <xf numFmtId="0" fontId="30" fillId="13" borderId="23" xfId="2" applyFont="1" applyFill="1" applyBorder="1" applyAlignment="1" applyProtection="1">
      <alignment horizontal="left" vertical="center"/>
      <protection locked="0"/>
    </xf>
    <xf numFmtId="0" fontId="30" fillId="13" borderId="23" xfId="2" applyFont="1" applyFill="1" applyBorder="1" applyAlignment="1" applyProtection="1">
      <alignment horizontal="center" vertical="center"/>
      <protection locked="0"/>
    </xf>
    <xf numFmtId="0" fontId="29" fillId="22" borderId="0" xfId="2" applyFont="1" applyFill="1" applyAlignment="1">
      <alignment horizontal="center" vertical="center"/>
    </xf>
    <xf numFmtId="0" fontId="22" fillId="9" borderId="0" xfId="2" applyFont="1" applyFill="1" applyAlignment="1">
      <alignment horizontal="center"/>
    </xf>
    <xf numFmtId="0" fontId="36" fillId="12" borderId="23" xfId="2" applyFont="1" applyFill="1" applyBorder="1" applyAlignment="1">
      <alignment horizontal="center" vertical="center" wrapText="1"/>
    </xf>
    <xf numFmtId="0" fontId="29" fillId="12" borderId="23" xfId="2" applyFont="1" applyFill="1" applyBorder="1" applyAlignment="1">
      <alignment horizontal="center" vertical="center" wrapText="1"/>
    </xf>
    <xf numFmtId="0" fontId="34" fillId="12" borderId="23" xfId="2" applyFont="1" applyFill="1" applyBorder="1" applyAlignment="1">
      <alignment horizontal="center" vertical="center" wrapText="1"/>
    </xf>
    <xf numFmtId="0" fontId="35" fillId="12" borderId="23" xfId="2" applyFont="1" applyFill="1" applyBorder="1" applyAlignment="1">
      <alignment horizontal="center" vertical="center" wrapText="1"/>
    </xf>
    <xf numFmtId="0" fontId="33" fillId="12" borderId="23" xfId="2" applyFont="1" applyFill="1" applyBorder="1" applyAlignment="1">
      <alignment horizontal="center" vertical="center" wrapText="1"/>
    </xf>
    <xf numFmtId="0" fontId="29" fillId="22" borderId="5" xfId="2" applyFont="1" applyFill="1" applyBorder="1" applyAlignment="1">
      <alignment horizontal="center" vertical="center" wrapText="1"/>
    </xf>
    <xf numFmtId="0" fontId="32" fillId="22" borderId="0" xfId="2" applyFont="1" applyFill="1" applyAlignment="1">
      <alignment horizontal="center" vertical="center"/>
    </xf>
    <xf numFmtId="0" fontId="3" fillId="4" borderId="5" xfId="2" applyFont="1" applyFill="1" applyBorder="1" applyAlignment="1">
      <alignment horizontal="center" vertical="center"/>
    </xf>
    <xf numFmtId="0" fontId="3" fillId="4" borderId="5" xfId="2" applyFont="1" applyFill="1" applyBorder="1" applyAlignment="1" applyProtection="1">
      <alignment horizontal="left" vertical="center" wrapText="1"/>
      <protection locked="0"/>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0" xfId="0" applyFont="1" applyFill="1" applyAlignment="1">
      <alignment horizontal="left" vertical="top" wrapText="1"/>
    </xf>
    <xf numFmtId="0" fontId="1" fillId="4" borderId="20"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10" xfId="0" applyFont="1" applyFill="1" applyBorder="1" applyAlignment="1">
      <alignment horizontal="left" vertical="top" wrapText="1"/>
    </xf>
    <xf numFmtId="0" fontId="25" fillId="4" borderId="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25" fillId="4" borderId="19" xfId="0" applyFont="1" applyFill="1" applyBorder="1" applyAlignment="1">
      <alignment horizontal="center" vertical="center" wrapText="1"/>
    </xf>
    <xf numFmtId="0" fontId="25" fillId="4" borderId="0" xfId="0" applyFont="1" applyFill="1" applyAlignment="1">
      <alignment horizontal="center" vertical="center" wrapText="1"/>
    </xf>
    <xf numFmtId="0" fontId="25" fillId="4" borderId="20"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6" fillId="4" borderId="5" xfId="0" applyFont="1" applyFill="1" applyBorder="1" applyAlignment="1">
      <alignment horizontal="center" vertical="center"/>
    </xf>
    <xf numFmtId="0" fontId="1" fillId="4" borderId="5"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1" fillId="39" borderId="0" xfId="0" applyFont="1" applyFill="1" applyAlignment="1">
      <alignment horizontal="center" vertical="center" wrapText="1"/>
    </xf>
    <xf numFmtId="0" fontId="26" fillId="39" borderId="2" xfId="0" applyFont="1" applyFill="1" applyBorder="1" applyAlignment="1">
      <alignment horizontal="center" vertical="center" wrapText="1"/>
    </xf>
    <xf numFmtId="0" fontId="26" fillId="39" borderId="3" xfId="0" applyFont="1" applyFill="1" applyBorder="1" applyAlignment="1">
      <alignment horizontal="center" vertical="center" wrapText="1"/>
    </xf>
    <xf numFmtId="0" fontId="1" fillId="39" borderId="7" xfId="0" applyFont="1" applyFill="1" applyBorder="1" applyAlignment="1">
      <alignment horizontal="center" vertical="center" wrapText="1"/>
    </xf>
    <xf numFmtId="0" fontId="1" fillId="39" borderId="19"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 fillId="4" borderId="5" xfId="0" applyFont="1" applyFill="1" applyBorder="1" applyAlignment="1">
      <alignment horizontal="left" vertical="center" wrapText="1"/>
    </xf>
    <xf numFmtId="0" fontId="1" fillId="39" borderId="29" xfId="0" applyFont="1" applyFill="1" applyBorder="1" applyAlignment="1">
      <alignment horizontal="center" vertical="center" wrapText="1"/>
    </xf>
    <xf numFmtId="0" fontId="1" fillId="39" borderId="29" xfId="0" applyFont="1" applyFill="1" applyBorder="1" applyAlignment="1">
      <alignment horizontal="center" vertical="center"/>
    </xf>
    <xf numFmtId="0" fontId="26" fillId="39" borderId="1" xfId="0" applyFont="1" applyFill="1" applyBorder="1" applyAlignment="1">
      <alignment horizontal="center" vertical="center" wrapText="1"/>
    </xf>
    <xf numFmtId="0" fontId="1" fillId="39" borderId="1" xfId="0" applyFont="1" applyFill="1" applyBorder="1" applyAlignment="1">
      <alignment horizontal="center" vertical="center"/>
    </xf>
    <xf numFmtId="0" fontId="25" fillId="39" borderId="20" xfId="0" applyFont="1" applyFill="1" applyBorder="1" applyAlignment="1">
      <alignment horizontal="center" vertical="center" wrapText="1"/>
    </xf>
    <xf numFmtId="0" fontId="64" fillId="12" borderId="0" xfId="0" applyFont="1" applyFill="1" applyAlignment="1">
      <alignment horizontal="center" vertical="center" wrapText="1"/>
    </xf>
    <xf numFmtId="0" fontId="92" fillId="4" borderId="5" xfId="0" applyFont="1" applyFill="1" applyBorder="1" applyAlignment="1" applyProtection="1">
      <alignment horizontal="center" vertical="center"/>
      <protection locked="0"/>
    </xf>
    <xf numFmtId="0" fontId="90" fillId="39" borderId="5" xfId="0" applyFont="1" applyFill="1" applyBorder="1" applyAlignment="1">
      <alignment horizontal="center" vertical="center"/>
    </xf>
    <xf numFmtId="0" fontId="64" fillId="12" borderId="5" xfId="0" applyFont="1" applyFill="1" applyBorder="1" applyAlignment="1">
      <alignment horizontal="center" vertical="center"/>
    </xf>
    <xf numFmtId="0" fontId="100" fillId="0" borderId="0" xfId="1" applyFont="1" applyAlignment="1">
      <alignment horizontal="center" vertical="center"/>
    </xf>
    <xf numFmtId="0" fontId="100" fillId="0" borderId="5" xfId="1" applyFont="1" applyBorder="1" applyAlignment="1">
      <alignment horizontal="center" vertical="center" wrapText="1"/>
    </xf>
    <xf numFmtId="0" fontId="17" fillId="10" borderId="5" xfId="0" applyFont="1" applyFill="1" applyBorder="1" applyAlignment="1">
      <alignment horizontal="center" vertical="center"/>
    </xf>
    <xf numFmtId="0" fontId="17" fillId="10" borderId="6" xfId="0" applyFont="1" applyFill="1" applyBorder="1" applyAlignment="1">
      <alignment horizontal="center" vertical="center"/>
    </xf>
    <xf numFmtId="0" fontId="17" fillId="10" borderId="7" xfId="0" applyFont="1" applyFill="1" applyBorder="1" applyAlignment="1">
      <alignment horizontal="center" vertical="center"/>
    </xf>
    <xf numFmtId="0" fontId="17" fillId="10" borderId="11" xfId="0" applyFont="1" applyFill="1" applyBorder="1" applyAlignment="1">
      <alignment horizontal="center" vertical="center"/>
    </xf>
    <xf numFmtId="0" fontId="18" fillId="11" borderId="5" xfId="0" applyFont="1" applyFill="1" applyBorder="1" applyAlignment="1">
      <alignment vertical="center" wrapText="1"/>
    </xf>
    <xf numFmtId="0" fontId="19" fillId="9" borderId="19" xfId="0" applyFont="1" applyFill="1" applyBorder="1">
      <alignment vertical="center"/>
    </xf>
    <xf numFmtId="0" fontId="16" fillId="4" borderId="2" xfId="0" applyFont="1" applyFill="1" applyBorder="1" applyAlignment="1">
      <alignment vertical="center" wrapText="1"/>
    </xf>
    <xf numFmtId="0" fontId="16" fillId="4" borderId="3" xfId="0" applyFont="1" applyFill="1" applyBorder="1" applyAlignment="1">
      <alignment vertical="center" wrapText="1"/>
    </xf>
    <xf numFmtId="0" fontId="16" fillId="4" borderId="8" xfId="0" applyFont="1" applyFill="1" applyBorder="1" applyAlignment="1">
      <alignment vertical="center" wrapText="1"/>
    </xf>
    <xf numFmtId="0" fontId="16" fillId="4" borderId="19" xfId="0" applyFont="1" applyFill="1" applyBorder="1" applyAlignment="1">
      <alignment vertical="center" wrapText="1"/>
    </xf>
    <xf numFmtId="0" fontId="16" fillId="4" borderId="0" xfId="0" applyFont="1" applyFill="1" applyAlignment="1">
      <alignment vertical="center" wrapText="1"/>
    </xf>
    <xf numFmtId="0" fontId="16" fillId="4" borderId="20" xfId="0" applyFont="1" applyFill="1" applyBorder="1" applyAlignment="1">
      <alignment vertical="center" wrapText="1"/>
    </xf>
    <xf numFmtId="0" fontId="16" fillId="4" borderId="4" xfId="0" applyFont="1" applyFill="1" applyBorder="1" applyAlignment="1">
      <alignment vertical="center" wrapText="1"/>
    </xf>
    <xf numFmtId="0" fontId="16" fillId="4" borderId="1" xfId="0" applyFont="1" applyFill="1" applyBorder="1" applyAlignment="1">
      <alignment vertical="center" wrapText="1"/>
    </xf>
    <xf numFmtId="0" fontId="16" fillId="4" borderId="10" xfId="0" applyFont="1" applyFill="1" applyBorder="1" applyAlignment="1">
      <alignment vertical="center" wrapText="1"/>
    </xf>
    <xf numFmtId="0" fontId="16" fillId="4" borderId="5" xfId="0" applyFont="1" applyFill="1" applyBorder="1" applyAlignment="1">
      <alignment vertical="center" wrapText="1"/>
    </xf>
    <xf numFmtId="0" fontId="16" fillId="4" borderId="2" xfId="0" applyFont="1" applyFill="1" applyBorder="1">
      <alignment vertical="center"/>
    </xf>
    <xf numFmtId="0" fontId="16" fillId="4" borderId="3" xfId="0" applyFont="1" applyFill="1" applyBorder="1">
      <alignment vertical="center"/>
    </xf>
    <xf numFmtId="0" fontId="16" fillId="4" borderId="8" xfId="0" applyFont="1" applyFill="1" applyBorder="1">
      <alignment vertical="center"/>
    </xf>
    <xf numFmtId="0" fontId="16" fillId="4" borderId="4" xfId="0" applyFont="1" applyFill="1" applyBorder="1">
      <alignment vertical="center"/>
    </xf>
    <xf numFmtId="0" fontId="16" fillId="4" borderId="1" xfId="0" applyFont="1" applyFill="1" applyBorder="1">
      <alignment vertical="center"/>
    </xf>
    <xf numFmtId="0" fontId="16" fillId="4" borderId="10" xfId="0" applyFont="1" applyFill="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89" fillId="6" borderId="5" xfId="0" applyFont="1" applyFill="1" applyBorder="1" applyAlignment="1">
      <alignment horizontal="center" vertical="center"/>
    </xf>
    <xf numFmtId="0" fontId="10" fillId="6" borderId="5" xfId="0" applyFont="1" applyFill="1" applyBorder="1" applyAlignment="1">
      <alignment horizontal="center" vertical="center"/>
    </xf>
    <xf numFmtId="0" fontId="87" fillId="0" borderId="5" xfId="0" applyFont="1" applyBorder="1" applyAlignment="1">
      <alignment horizontal="center" vertical="center"/>
    </xf>
    <xf numFmtId="0" fontId="13" fillId="0" borderId="5" xfId="0" applyFont="1" applyBorder="1" applyAlignment="1">
      <alignment horizontal="center" vertical="center"/>
    </xf>
    <xf numFmtId="0" fontId="9" fillId="0" borderId="5" xfId="0" applyFont="1" applyBorder="1" applyAlignment="1">
      <alignment horizontal="center" vertical="center"/>
    </xf>
    <xf numFmtId="0" fontId="9" fillId="0" borderId="5" xfId="0" applyFont="1" applyBorder="1" applyAlignment="1">
      <alignment horizontal="left" vertical="center" wrapText="1"/>
    </xf>
    <xf numFmtId="0" fontId="11" fillId="8" borderId="5" xfId="0" applyFont="1" applyFill="1" applyBorder="1" applyAlignment="1">
      <alignment horizontal="center" vertical="center"/>
    </xf>
    <xf numFmtId="0" fontId="14" fillId="0" borderId="5"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19" xfId="0" applyFont="1" applyBorder="1" applyAlignment="1">
      <alignment horizontal="left" vertical="center" wrapText="1"/>
    </xf>
    <xf numFmtId="0" fontId="9" fillId="0" borderId="0" xfId="0" applyFont="1" applyAlignment="1">
      <alignment horizontal="left" vertical="center" wrapText="1"/>
    </xf>
    <xf numFmtId="0" fontId="9" fillId="0" borderId="20"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xf>
    <xf numFmtId="0" fontId="10" fillId="7" borderId="5" xfId="0" applyFont="1" applyFill="1" applyBorder="1" applyAlignment="1">
      <alignment horizontal="center" vertical="center" wrapText="1"/>
    </xf>
    <xf numFmtId="0" fontId="13" fillId="0" borderId="5"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8" xfId="0" applyFont="1" applyBorder="1" applyAlignment="1">
      <alignment vertical="center" wrapText="1"/>
    </xf>
    <xf numFmtId="0" fontId="9" fillId="0" borderId="19" xfId="0" applyFont="1" applyBorder="1" applyAlignment="1">
      <alignment vertical="center" wrapText="1"/>
    </xf>
    <xf numFmtId="0" fontId="9" fillId="0" borderId="0" xfId="0" applyFont="1" applyAlignment="1">
      <alignment vertical="center" wrapText="1"/>
    </xf>
    <xf numFmtId="0" fontId="9" fillId="0" borderId="20" xfId="0" applyFont="1" applyBorder="1" applyAlignment="1">
      <alignment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10" xfId="0" applyFont="1" applyBorder="1" applyAlignment="1">
      <alignmen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7"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8" fillId="0" borderId="0" xfId="0" applyFont="1" applyAlignment="1">
      <alignment horizontal="center"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3" fillId="4" borderId="5" xfId="0" applyFont="1" applyFill="1" applyBorder="1" applyAlignment="1">
      <alignment horizontal="left" vertical="center"/>
    </xf>
    <xf numFmtId="0" fontId="6" fillId="4" borderId="0" xfId="0" applyFont="1" applyFill="1" applyAlignment="1">
      <alignment horizontal="center" vertical="center"/>
    </xf>
    <xf numFmtId="0" fontId="6" fillId="0" borderId="12" xfId="0" applyFont="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4"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11" xfId="0" applyFont="1" applyFill="1" applyBorder="1" applyAlignment="1">
      <alignment horizontal="center" vertical="center"/>
    </xf>
    <xf numFmtId="0" fontId="5" fillId="4" borderId="0" xfId="0" applyFont="1" applyFill="1" applyAlignment="1">
      <alignment horizontal="center"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0" borderId="12" xfId="0" applyFont="1" applyBorder="1" applyAlignment="1">
      <alignment horizontal="left" vertical="center" wrapText="1"/>
    </xf>
    <xf numFmtId="0" fontId="2" fillId="2" borderId="1" xfId="0" applyFont="1" applyFill="1" applyBorder="1" applyAlignment="1">
      <alignment horizontal="center" vertical="center"/>
    </xf>
    <xf numFmtId="0" fontId="2" fillId="2" borderId="0" xfId="0" applyFont="1" applyFill="1" applyAlignment="1">
      <alignment horizontal="center" vertical="center" wrapText="1"/>
    </xf>
  </cellXfs>
  <cellStyles count="3">
    <cellStyle name="常规" xfId="0" builtinId="0"/>
    <cellStyle name="常规 2" xfId="1" xr:uid="{00000000-0005-0000-0000-000031000000}"/>
    <cellStyle name="常规 3" xfId="2" xr:uid="{00000000-0005-0000-0000-000032000000}"/>
  </cellStyles>
  <dxfs count="115">
    <dxf>
      <font>
        <b/>
        <i val="0"/>
        <color theme="8" tint="-0.499984740745262"/>
      </font>
    </dxf>
    <dxf>
      <font>
        <color rgb="FF00FF00"/>
      </font>
      <fill>
        <patternFill patternType="solid">
          <bgColor rgb="FF00FF00"/>
        </patternFill>
      </fill>
    </dxf>
    <dxf>
      <font>
        <b/>
        <i val="0"/>
        <color theme="8" tint="-0.499984740745262"/>
      </font>
    </dxf>
    <dxf>
      <font>
        <color theme="8" tint="0.39994506668294322"/>
      </font>
      <numFmt numFmtId="0" formatCode="General"/>
      <fill>
        <patternFill patternType="solid">
          <fgColor theme="4" tint="-0.24994659260841701"/>
          <bgColor theme="8" tint="0.39994506668294322"/>
        </patternFill>
      </fill>
    </dxf>
    <dxf>
      <font>
        <color theme="9" tint="0.39994506668294322"/>
      </font>
      <fill>
        <patternFill patternType="solid">
          <bgColor theme="9" tint="0.39994506668294322"/>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ont>
        <color theme="0" tint="-0.24994659260841701"/>
      </font>
      <fill>
        <patternFill patternType="solid">
          <bgColor theme="0" tint="-0.24994659260841701"/>
        </pattern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ont>
        <b/>
        <i val="0"/>
        <color theme="4"/>
      </font>
      <fill>
        <patternFill patternType="none"/>
      </fill>
    </dxf>
    <dxf>
      <fill>
        <gradientFill>
          <stop position="0">
            <color theme="0"/>
          </stop>
          <stop position="1">
            <color rgb="FFDFECF7"/>
          </stop>
        </gradientFill>
      </fill>
    </dxf>
    <dxf>
      <font>
        <b/>
        <i val="0"/>
        <color theme="8" tint="-0.499984740745262"/>
      </font>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stop position="0">
            <color theme="0"/>
          </stop>
          <stop position="1">
            <color rgb="FFDFECF7"/>
          </stop>
        </gradientFill>
      </fill>
    </dxf>
    <dxf>
      <fill>
        <gradientFill degree="180">
          <stop position="0">
            <color theme="0"/>
          </stop>
          <stop position="1">
            <color rgb="FFC6E0B4"/>
          </stop>
        </gradientFill>
      </fill>
    </dxf>
    <dxf>
      <font>
        <color theme="1"/>
      </font>
      <fill>
        <patternFill patternType="solid">
          <bgColor theme="0" tint="-0.499984740745262"/>
        </patternFill>
      </fill>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
      <font>
        <b/>
        <i val="0"/>
        <color rgb="FF00B0F0"/>
      </font>
    </dxf>
  </dxfs>
  <tableStyles count="0" defaultTableStyle="TableStyleMedium2" defaultPivotStyle="PivotStyleLight16"/>
  <colors>
    <mruColors>
      <color rgb="FFE5DFEC"/>
      <color rgb="FFDDD9C4"/>
      <color rgb="FFFDE9D9"/>
      <color rgb="FF305496"/>
      <color rgb="FFF7F7EB"/>
      <color rgb="FFFEDEAB"/>
      <color rgb="FFDFECF7"/>
      <color rgb="FFDCE6F1"/>
      <color rgb="FFC6E0B4"/>
      <color rgb="FFFAFE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8.wmf"/><Relationship Id="rId2" Type="http://schemas.openxmlformats.org/officeDocument/2006/relationships/image" Target="../media/image7.wmf"/><Relationship Id="rId1" Type="http://schemas.openxmlformats.org/officeDocument/2006/relationships/image" Target="../media/image6.png"/><Relationship Id="rId4" Type="http://schemas.openxmlformats.org/officeDocument/2006/relationships/image" Target="../media/image9.wmf"/></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4</xdr:col>
      <xdr:colOff>256884</xdr:colOff>
      <xdr:row>12</xdr:row>
      <xdr:rowOff>259080</xdr:rowOff>
    </xdr:to>
    <xdr:sp macro="" textlink="">
      <xdr:nvSpPr>
        <xdr:cNvPr id="2" name="ellipse">
          <a:extLst>
            <a:ext uri="{FF2B5EF4-FFF2-40B4-BE49-F238E27FC236}">
              <a16:creationId xmlns:a16="http://schemas.microsoft.com/office/drawing/2014/main" id="{0B423FF0-8838-46C2-8033-8A3A888851B7}"/>
            </a:ext>
          </a:extLst>
        </xdr:cNvPr>
        <xdr:cNvSpPr/>
      </xdr:nvSpPr>
      <xdr:spPr>
        <a:xfrm>
          <a:off x="0" y="1463040"/>
          <a:ext cx="1323684" cy="91440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11</xdr:col>
      <xdr:colOff>0</xdr:colOff>
      <xdr:row>10</xdr:row>
      <xdr:rowOff>0</xdr:rowOff>
    </xdr:from>
    <xdr:to>
      <xdr:col>24</xdr:col>
      <xdr:colOff>0</xdr:colOff>
      <xdr:row>23</xdr:row>
      <xdr:rowOff>0</xdr:rowOff>
    </xdr:to>
    <xdr:sp macro="" textlink="">
      <xdr:nvSpPr>
        <xdr:cNvPr id="3" name="ellipse">
          <a:extLst>
            <a:ext uri="{FF2B5EF4-FFF2-40B4-BE49-F238E27FC236}">
              <a16:creationId xmlns:a16="http://schemas.microsoft.com/office/drawing/2014/main" id="{88147D28-938B-486E-A2AD-2DDCD5BFE0EB}"/>
            </a:ext>
          </a:extLst>
        </xdr:cNvPr>
        <xdr:cNvSpPr/>
      </xdr:nvSpPr>
      <xdr:spPr>
        <a:xfrm>
          <a:off x="0" y="6217920"/>
          <a:ext cx="3467100" cy="237744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35</xdr:col>
      <xdr:colOff>0</xdr:colOff>
      <xdr:row>8</xdr:row>
      <xdr:rowOff>15240</xdr:rowOff>
    </xdr:from>
    <xdr:to>
      <xdr:col>43</xdr:col>
      <xdr:colOff>0</xdr:colOff>
      <xdr:row>16</xdr:row>
      <xdr:rowOff>0</xdr:rowOff>
    </xdr:to>
    <xdr:sp macro="" textlink="">
      <xdr:nvSpPr>
        <xdr:cNvPr id="4" name="ellipse">
          <a:extLst>
            <a:ext uri="{FF2B5EF4-FFF2-40B4-BE49-F238E27FC236}">
              <a16:creationId xmlns:a16="http://schemas.microsoft.com/office/drawing/2014/main" id="{53F7680E-0FFB-45BA-9DFE-BCECBA54BEAA}"/>
            </a:ext>
          </a:extLst>
        </xdr:cNvPr>
        <xdr:cNvSpPr/>
      </xdr:nvSpPr>
      <xdr:spPr>
        <a:xfrm>
          <a:off x="3467100" y="3489960"/>
          <a:ext cx="2133600" cy="144780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0</xdr:col>
      <xdr:colOff>0</xdr:colOff>
      <xdr:row>1</xdr:row>
      <xdr:rowOff>0</xdr:rowOff>
    </xdr:from>
    <xdr:to>
      <xdr:col>5</xdr:col>
      <xdr:colOff>0</xdr:colOff>
      <xdr:row>6</xdr:row>
      <xdr:rowOff>0</xdr:rowOff>
    </xdr:to>
    <xdr:sp macro="" textlink="">
      <xdr:nvSpPr>
        <xdr:cNvPr id="5" name="ellipse">
          <a:extLst>
            <a:ext uri="{FF2B5EF4-FFF2-40B4-BE49-F238E27FC236}">
              <a16:creationId xmlns:a16="http://schemas.microsoft.com/office/drawing/2014/main" id="{8D5FD38A-DB81-48DB-8BA7-C024497F572D}"/>
            </a:ext>
          </a:extLst>
        </xdr:cNvPr>
        <xdr:cNvSpPr/>
      </xdr:nvSpPr>
      <xdr:spPr>
        <a:xfrm>
          <a:off x="0" y="182880"/>
          <a:ext cx="1333500" cy="91440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26</xdr:col>
      <xdr:colOff>0</xdr:colOff>
      <xdr:row>11</xdr:row>
      <xdr:rowOff>7620</xdr:rowOff>
    </xdr:from>
    <xdr:to>
      <xdr:col>32</xdr:col>
      <xdr:colOff>0</xdr:colOff>
      <xdr:row>17</xdr:row>
      <xdr:rowOff>7620</xdr:rowOff>
    </xdr:to>
    <xdr:sp macro="" textlink="">
      <xdr:nvSpPr>
        <xdr:cNvPr id="6" name="ellipse">
          <a:extLst>
            <a:ext uri="{FF2B5EF4-FFF2-40B4-BE49-F238E27FC236}">
              <a16:creationId xmlns:a16="http://schemas.microsoft.com/office/drawing/2014/main" id="{09371913-BACD-4519-9935-73ED411F46E0}"/>
            </a:ext>
          </a:extLst>
        </xdr:cNvPr>
        <xdr:cNvSpPr/>
      </xdr:nvSpPr>
      <xdr:spPr>
        <a:xfrm>
          <a:off x="3467100" y="2019300"/>
          <a:ext cx="1600200" cy="109728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26</xdr:col>
      <xdr:colOff>0</xdr:colOff>
      <xdr:row>1</xdr:row>
      <xdr:rowOff>0</xdr:rowOff>
    </xdr:from>
    <xdr:to>
      <xdr:col>28</xdr:col>
      <xdr:colOff>0</xdr:colOff>
      <xdr:row>3</xdr:row>
      <xdr:rowOff>0</xdr:rowOff>
    </xdr:to>
    <xdr:sp macro="" textlink="">
      <xdr:nvSpPr>
        <xdr:cNvPr id="7" name="ellipse">
          <a:extLst>
            <a:ext uri="{FF2B5EF4-FFF2-40B4-BE49-F238E27FC236}">
              <a16:creationId xmlns:a16="http://schemas.microsoft.com/office/drawing/2014/main" id="{FC25BB81-475D-41CD-BD4C-7C6B133F9365}"/>
            </a:ext>
          </a:extLst>
        </xdr:cNvPr>
        <xdr:cNvSpPr/>
      </xdr:nvSpPr>
      <xdr:spPr>
        <a:xfrm>
          <a:off x="3467100" y="182880"/>
          <a:ext cx="533400" cy="36576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25</xdr:col>
      <xdr:colOff>267387</xdr:colOff>
      <xdr:row>5</xdr:row>
      <xdr:rowOff>0</xdr:rowOff>
    </xdr:from>
    <xdr:to>
      <xdr:col>30</xdr:col>
      <xdr:colOff>0</xdr:colOff>
      <xdr:row>9</xdr:row>
      <xdr:rowOff>0</xdr:rowOff>
    </xdr:to>
    <xdr:sp macro="" textlink="">
      <xdr:nvSpPr>
        <xdr:cNvPr id="8" name="ellipse">
          <a:extLst>
            <a:ext uri="{FF2B5EF4-FFF2-40B4-BE49-F238E27FC236}">
              <a16:creationId xmlns:a16="http://schemas.microsoft.com/office/drawing/2014/main" id="{A0ADABA5-C9EB-493D-93E4-353CC34C2EB4}"/>
            </a:ext>
          </a:extLst>
        </xdr:cNvPr>
        <xdr:cNvSpPr/>
      </xdr:nvSpPr>
      <xdr:spPr>
        <a:xfrm>
          <a:off x="3467787" y="914400"/>
          <a:ext cx="1066113" cy="73152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11</xdr:col>
      <xdr:colOff>0</xdr:colOff>
      <xdr:row>1</xdr:row>
      <xdr:rowOff>0</xdr:rowOff>
    </xdr:from>
    <xdr:to>
      <xdr:col>18</xdr:col>
      <xdr:colOff>0</xdr:colOff>
      <xdr:row>8</xdr:row>
      <xdr:rowOff>0</xdr:rowOff>
    </xdr:to>
    <xdr:sp macro="" textlink="">
      <xdr:nvSpPr>
        <xdr:cNvPr id="9" name="ellipse">
          <a:extLst>
            <a:ext uri="{FF2B5EF4-FFF2-40B4-BE49-F238E27FC236}">
              <a16:creationId xmlns:a16="http://schemas.microsoft.com/office/drawing/2014/main" id="{AF69E7EF-16CB-4B74-8CBF-0776A549B045}"/>
            </a:ext>
          </a:extLst>
        </xdr:cNvPr>
        <xdr:cNvSpPr/>
      </xdr:nvSpPr>
      <xdr:spPr>
        <a:xfrm>
          <a:off x="0" y="4572000"/>
          <a:ext cx="1866900" cy="128016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8</xdr:row>
      <xdr:rowOff>0</xdr:rowOff>
    </xdr:from>
    <xdr:to>
      <xdr:col>5</xdr:col>
      <xdr:colOff>256884</xdr:colOff>
      <xdr:row>13</xdr:row>
      <xdr:rowOff>0</xdr:rowOff>
    </xdr:to>
    <xdr:sp macro="" textlink="">
      <xdr:nvSpPr>
        <xdr:cNvPr id="10" name="ellipse">
          <a:extLst>
            <a:ext uri="{FF2B5EF4-FFF2-40B4-BE49-F238E27FC236}">
              <a16:creationId xmlns:a16="http://schemas.microsoft.com/office/drawing/2014/main" id="{3F139ABF-BA1D-4C88-AD8A-070D236135BC}"/>
            </a:ext>
          </a:extLst>
        </xdr:cNvPr>
        <xdr:cNvSpPr/>
      </xdr:nvSpPr>
      <xdr:spPr>
        <a:xfrm>
          <a:off x="266700" y="1463040"/>
          <a:ext cx="1323684" cy="91440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0</xdr:col>
      <xdr:colOff>0</xdr:colOff>
      <xdr:row>9</xdr:row>
      <xdr:rowOff>0</xdr:rowOff>
    </xdr:from>
    <xdr:to>
      <xdr:col>4</xdr:col>
      <xdr:colOff>256884</xdr:colOff>
      <xdr:row>13</xdr:row>
      <xdr:rowOff>251460</xdr:rowOff>
    </xdr:to>
    <xdr:sp macro="" textlink="">
      <xdr:nvSpPr>
        <xdr:cNvPr id="11" name="ellipse">
          <a:extLst>
            <a:ext uri="{FF2B5EF4-FFF2-40B4-BE49-F238E27FC236}">
              <a16:creationId xmlns:a16="http://schemas.microsoft.com/office/drawing/2014/main" id="{2931BF72-853A-487B-99EA-ED5AAF190DDF}"/>
            </a:ext>
          </a:extLst>
        </xdr:cNvPr>
        <xdr:cNvSpPr/>
      </xdr:nvSpPr>
      <xdr:spPr>
        <a:xfrm>
          <a:off x="0" y="1645920"/>
          <a:ext cx="1323684" cy="91440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9</xdr:row>
      <xdr:rowOff>0</xdr:rowOff>
    </xdr:from>
    <xdr:to>
      <xdr:col>5</xdr:col>
      <xdr:colOff>256884</xdr:colOff>
      <xdr:row>13</xdr:row>
      <xdr:rowOff>259080</xdr:rowOff>
    </xdr:to>
    <xdr:sp macro="" textlink="">
      <xdr:nvSpPr>
        <xdr:cNvPr id="12" name="ellipse">
          <a:extLst>
            <a:ext uri="{FF2B5EF4-FFF2-40B4-BE49-F238E27FC236}">
              <a16:creationId xmlns:a16="http://schemas.microsoft.com/office/drawing/2014/main" id="{39101DF9-8AFD-4FD1-BCA5-0CD40A5D1621}"/>
            </a:ext>
          </a:extLst>
        </xdr:cNvPr>
        <xdr:cNvSpPr/>
      </xdr:nvSpPr>
      <xdr:spPr>
        <a:xfrm>
          <a:off x="266700" y="1645920"/>
          <a:ext cx="1323684" cy="91440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0</xdr:col>
      <xdr:colOff>0</xdr:colOff>
      <xdr:row>16</xdr:row>
      <xdr:rowOff>0</xdr:rowOff>
    </xdr:from>
    <xdr:to>
      <xdr:col>4</xdr:col>
      <xdr:colOff>256884</xdr:colOff>
      <xdr:row>21</xdr:row>
      <xdr:rowOff>0</xdr:rowOff>
    </xdr:to>
    <xdr:sp macro="" textlink="">
      <xdr:nvSpPr>
        <xdr:cNvPr id="13" name="ellipse">
          <a:extLst>
            <a:ext uri="{FF2B5EF4-FFF2-40B4-BE49-F238E27FC236}">
              <a16:creationId xmlns:a16="http://schemas.microsoft.com/office/drawing/2014/main" id="{1CB5A8B4-A5C9-400F-8B17-A697AEA5F173}"/>
            </a:ext>
          </a:extLst>
        </xdr:cNvPr>
        <xdr:cNvSpPr/>
      </xdr:nvSpPr>
      <xdr:spPr>
        <a:xfrm>
          <a:off x="0" y="2926080"/>
          <a:ext cx="1323684" cy="914400"/>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2</xdr:col>
      <xdr:colOff>0</xdr:colOff>
      <xdr:row>16</xdr:row>
      <xdr:rowOff>0</xdr:rowOff>
    </xdr:from>
    <xdr:to>
      <xdr:col>7</xdr:col>
      <xdr:colOff>0</xdr:colOff>
      <xdr:row>21</xdr:row>
      <xdr:rowOff>0</xdr:rowOff>
    </xdr:to>
    <xdr:sp macro="" textlink="">
      <xdr:nvSpPr>
        <xdr:cNvPr id="14" name="ellipse">
          <a:extLst>
            <a:ext uri="{FF2B5EF4-FFF2-40B4-BE49-F238E27FC236}">
              <a16:creationId xmlns:a16="http://schemas.microsoft.com/office/drawing/2014/main" id="{9B5EE0A9-7D90-4A87-800D-7C691FC8A915}"/>
            </a:ext>
          </a:extLst>
        </xdr:cNvPr>
        <xdr:cNvSpPr/>
      </xdr:nvSpPr>
      <xdr:spPr>
        <a:xfrm>
          <a:off x="537882" y="4303059"/>
          <a:ext cx="1344706" cy="1344706"/>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2</xdr:col>
      <xdr:colOff>0</xdr:colOff>
      <xdr:row>18</xdr:row>
      <xdr:rowOff>0</xdr:rowOff>
    </xdr:from>
    <xdr:to>
      <xdr:col>7</xdr:col>
      <xdr:colOff>0</xdr:colOff>
      <xdr:row>23</xdr:row>
      <xdr:rowOff>0</xdr:rowOff>
    </xdr:to>
    <xdr:sp macro="" textlink="">
      <xdr:nvSpPr>
        <xdr:cNvPr id="15" name="ellipse">
          <a:extLst>
            <a:ext uri="{FF2B5EF4-FFF2-40B4-BE49-F238E27FC236}">
              <a16:creationId xmlns:a16="http://schemas.microsoft.com/office/drawing/2014/main" id="{8CCF5186-DCE1-4CD8-A746-1E5581F13706}"/>
            </a:ext>
          </a:extLst>
        </xdr:cNvPr>
        <xdr:cNvSpPr/>
      </xdr:nvSpPr>
      <xdr:spPr>
        <a:xfrm>
          <a:off x="537882" y="4840941"/>
          <a:ext cx="1344706" cy="1344706"/>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0</xdr:col>
      <xdr:colOff>0</xdr:colOff>
      <xdr:row>18</xdr:row>
      <xdr:rowOff>1</xdr:rowOff>
    </xdr:from>
    <xdr:to>
      <xdr:col>5</xdr:col>
      <xdr:colOff>0</xdr:colOff>
      <xdr:row>23</xdr:row>
      <xdr:rowOff>7</xdr:rowOff>
    </xdr:to>
    <xdr:sp macro="" textlink="">
      <xdr:nvSpPr>
        <xdr:cNvPr id="16" name="ellipse">
          <a:extLst>
            <a:ext uri="{FF2B5EF4-FFF2-40B4-BE49-F238E27FC236}">
              <a16:creationId xmlns:a16="http://schemas.microsoft.com/office/drawing/2014/main" id="{06E424EF-022A-41CB-8CF2-F9236649F5C5}"/>
            </a:ext>
          </a:extLst>
        </xdr:cNvPr>
        <xdr:cNvSpPr/>
      </xdr:nvSpPr>
      <xdr:spPr>
        <a:xfrm>
          <a:off x="0" y="4840942"/>
          <a:ext cx="1344706" cy="1344712"/>
        </a:xfrm>
        <a:prstGeom prst="ellipse">
          <a:avLst/>
        </a:prstGeom>
        <a:noFill/>
        <a:ln w="9525" cap="flat" cmpd="sng">
          <a:solidFill>
            <a:srgbClr val="154C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601980</xdr:colOff>
      <xdr:row>13</xdr:row>
      <xdr:rowOff>167640</xdr:rowOff>
    </xdr:from>
    <xdr:to>
      <xdr:col>12</xdr:col>
      <xdr:colOff>22860</xdr:colOff>
      <xdr:row>28</xdr:row>
      <xdr:rowOff>15240</xdr:rowOff>
    </xdr:to>
    <xdr:sp macro="" textlink="">
      <xdr:nvSpPr>
        <xdr:cNvPr id="2" name="文本框 1">
          <a:extLst>
            <a:ext uri="{FF2B5EF4-FFF2-40B4-BE49-F238E27FC236}">
              <a16:creationId xmlns:a16="http://schemas.microsoft.com/office/drawing/2014/main" id="{00000000-0008-0000-0E00-000002000000}"/>
            </a:ext>
          </a:extLst>
        </xdr:cNvPr>
        <xdr:cNvSpPr txBox="1"/>
      </xdr:nvSpPr>
      <xdr:spPr>
        <a:xfrm>
          <a:off x="601980" y="2456815"/>
          <a:ext cx="7536180" cy="2419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zh-CN"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8966</xdr:colOff>
      <xdr:row>14</xdr:row>
      <xdr:rowOff>8964</xdr:rowOff>
    </xdr:from>
    <xdr:to>
      <xdr:col>29</xdr:col>
      <xdr:colOff>197223</xdr:colOff>
      <xdr:row>18</xdr:row>
      <xdr:rowOff>2376</xdr:rowOff>
    </xdr:to>
    <xdr:pic>
      <xdr:nvPicPr>
        <xdr:cNvPr id="7" name="图片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4140" y="2550160"/>
          <a:ext cx="759460" cy="697865"/>
        </a:xfrm>
        <a:prstGeom prst="rect">
          <a:avLst/>
        </a:prstGeom>
      </xdr:spPr>
    </xdr:pic>
    <xdr:clientData/>
  </xdr:twoCellAnchor>
  <xdr:twoCellAnchor editAs="oneCell">
    <xdr:from>
      <xdr:col>40</xdr:col>
      <xdr:colOff>5406</xdr:colOff>
      <xdr:row>15</xdr:row>
      <xdr:rowOff>8966</xdr:rowOff>
    </xdr:from>
    <xdr:to>
      <xdr:col>42</xdr:col>
      <xdr:colOff>197223</xdr:colOff>
      <xdr:row>19</xdr:row>
      <xdr:rowOff>2359</xdr:rowOff>
    </xdr:to>
    <xdr:pic>
      <xdr:nvPicPr>
        <xdr:cNvPr id="10" name="图片 9">
          <a:extLst>
            <a:ext uri="{FF2B5EF4-FFF2-40B4-BE49-F238E27FC236}">
              <a16:creationId xmlns:a16="http://schemas.microsoft.com/office/drawing/2014/main" id="{00000000-0008-0000-0F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5080" y="2726690"/>
          <a:ext cx="763270" cy="699135"/>
        </a:xfrm>
        <a:prstGeom prst="rect">
          <a:avLst/>
        </a:prstGeom>
      </xdr:spPr>
    </xdr:pic>
    <xdr:clientData/>
  </xdr:twoCellAnchor>
  <xdr:twoCellAnchor editAs="oneCell">
    <xdr:from>
      <xdr:col>40</xdr:col>
      <xdr:colOff>8965</xdr:colOff>
      <xdr:row>20</xdr:row>
      <xdr:rowOff>17929</xdr:rowOff>
    </xdr:from>
    <xdr:to>
      <xdr:col>42</xdr:col>
      <xdr:colOff>182128</xdr:colOff>
      <xdr:row>23</xdr:row>
      <xdr:rowOff>171673</xdr:rowOff>
    </xdr:to>
    <xdr:pic>
      <xdr:nvPicPr>
        <xdr:cNvPr id="13" name="图片 12">
          <a:extLst>
            <a:ext uri="{FF2B5EF4-FFF2-40B4-BE49-F238E27FC236}">
              <a16:creationId xmlns:a16="http://schemas.microsoft.com/office/drawing/2014/main" id="{00000000-0008-0000-0F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607" t="6788" r="4142"/>
        <a:stretch>
          <a:fillRect/>
        </a:stretch>
      </xdr:blipFill>
      <xdr:spPr>
        <a:xfrm>
          <a:off x="11438890" y="3632200"/>
          <a:ext cx="744220" cy="683260"/>
        </a:xfrm>
        <a:prstGeom prst="rect">
          <a:avLst/>
        </a:prstGeom>
      </xdr:spPr>
    </xdr:pic>
    <xdr:clientData/>
  </xdr:twoCellAnchor>
  <xdr:twoCellAnchor editAs="oneCell">
    <xdr:from>
      <xdr:col>27</xdr:col>
      <xdr:colOff>7620</xdr:colOff>
      <xdr:row>25</xdr:row>
      <xdr:rowOff>7620</xdr:rowOff>
    </xdr:from>
    <xdr:to>
      <xdr:col>29</xdr:col>
      <xdr:colOff>182880</xdr:colOff>
      <xdr:row>29</xdr:row>
      <xdr:rowOff>0</xdr:rowOff>
    </xdr:to>
    <xdr:pic>
      <xdr:nvPicPr>
        <xdr:cNvPr id="6" name="图片 5">
          <a:extLst>
            <a:ext uri="{FF2B5EF4-FFF2-40B4-BE49-F238E27FC236}">
              <a16:creationId xmlns:a16="http://schemas.microsoft.com/office/drawing/2014/main" id="{33699E2B-33CF-1312-5AD4-933F51EE45B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002780" y="4480560"/>
          <a:ext cx="693420" cy="693420"/>
        </a:xfrm>
        <a:prstGeom prst="rect">
          <a:avLst/>
        </a:prstGeom>
      </xdr:spPr>
    </xdr:pic>
    <xdr:clientData/>
  </xdr:twoCellAnchor>
  <xdr:twoCellAnchor editAs="oneCell">
    <xdr:from>
      <xdr:col>27</xdr:col>
      <xdr:colOff>7620</xdr:colOff>
      <xdr:row>29</xdr:row>
      <xdr:rowOff>7620</xdr:rowOff>
    </xdr:from>
    <xdr:to>
      <xdr:col>29</xdr:col>
      <xdr:colOff>182880</xdr:colOff>
      <xdr:row>33</xdr:row>
      <xdr:rowOff>0</xdr:rowOff>
    </xdr:to>
    <xdr:pic>
      <xdr:nvPicPr>
        <xdr:cNvPr id="9" name="图片 8">
          <a:extLst>
            <a:ext uri="{FF2B5EF4-FFF2-40B4-BE49-F238E27FC236}">
              <a16:creationId xmlns:a16="http://schemas.microsoft.com/office/drawing/2014/main" id="{317EF641-0055-48CF-2AEC-2A8A34BA0B4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002780" y="5181600"/>
          <a:ext cx="693420" cy="6934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40</xdr:col>
      <xdr:colOff>12700</xdr:colOff>
      <xdr:row>5</xdr:row>
      <xdr:rowOff>25400</xdr:rowOff>
    </xdr:from>
    <xdr:to>
      <xdr:col>42</xdr:col>
      <xdr:colOff>3175</xdr:colOff>
      <xdr:row>7</xdr:row>
      <xdr:rowOff>1270</xdr:rowOff>
    </xdr:to>
    <xdr:pic>
      <xdr:nvPicPr>
        <xdr:cNvPr id="5" name="图片 4" descr="Sintiacutetulo-7_zpsfea275e0">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1"/>
        <a:stretch>
          <a:fillRect/>
        </a:stretch>
      </xdr:blipFill>
      <xdr:spPr>
        <a:xfrm>
          <a:off x="8013700" y="1073150"/>
          <a:ext cx="390525" cy="394970"/>
        </a:xfrm>
        <a:prstGeom prst="rect">
          <a:avLst/>
        </a:prstGeom>
      </xdr:spPr>
    </xdr:pic>
    <xdr:clientData/>
  </xdr:twoCellAnchor>
  <xdr:twoCellAnchor editAs="oneCell">
    <xdr:from>
      <xdr:col>40</xdr:col>
      <xdr:colOff>12700</xdr:colOff>
      <xdr:row>11</xdr:row>
      <xdr:rowOff>25400</xdr:rowOff>
    </xdr:from>
    <xdr:to>
      <xdr:col>42</xdr:col>
      <xdr:colOff>5080</xdr:colOff>
      <xdr:row>12</xdr:row>
      <xdr:rowOff>200660</xdr:rowOff>
    </xdr:to>
    <xdr:pic>
      <xdr:nvPicPr>
        <xdr:cNvPr id="6" name="图片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a:stretch>
          <a:fillRect/>
        </a:stretch>
      </xdr:blipFill>
      <xdr:spPr>
        <a:xfrm>
          <a:off x="8013700" y="2330450"/>
          <a:ext cx="392430" cy="384810"/>
        </a:xfrm>
        <a:prstGeom prst="rect">
          <a:avLst/>
        </a:prstGeom>
        <a:noFill/>
        <a:ln w="9525">
          <a:noFill/>
        </a:ln>
      </xdr:spPr>
    </xdr:pic>
    <xdr:clientData/>
  </xdr:twoCellAnchor>
  <xdr:twoCellAnchor editAs="oneCell">
    <xdr:from>
      <xdr:col>40</xdr:col>
      <xdr:colOff>12700</xdr:colOff>
      <xdr:row>13</xdr:row>
      <xdr:rowOff>15875</xdr:rowOff>
    </xdr:from>
    <xdr:to>
      <xdr:col>42</xdr:col>
      <xdr:colOff>5080</xdr:colOff>
      <xdr:row>14</xdr:row>
      <xdr:rowOff>198755</xdr:rowOff>
    </xdr:to>
    <xdr:pic>
      <xdr:nvPicPr>
        <xdr:cNvPr id="7" name="图片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3"/>
        <a:stretch>
          <a:fillRect/>
        </a:stretch>
      </xdr:blipFill>
      <xdr:spPr>
        <a:xfrm>
          <a:off x="8013700" y="2740025"/>
          <a:ext cx="392430" cy="392430"/>
        </a:xfrm>
        <a:prstGeom prst="rect">
          <a:avLst/>
        </a:prstGeom>
        <a:noFill/>
        <a:ln w="9525">
          <a:noFill/>
        </a:ln>
      </xdr:spPr>
    </xdr:pic>
    <xdr:clientData/>
  </xdr:twoCellAnchor>
  <xdr:twoCellAnchor editAs="oneCell">
    <xdr:from>
      <xdr:col>40</xdr:col>
      <xdr:colOff>12700</xdr:colOff>
      <xdr:row>2</xdr:row>
      <xdr:rowOff>12700</xdr:rowOff>
    </xdr:from>
    <xdr:to>
      <xdr:col>42</xdr:col>
      <xdr:colOff>8890</xdr:colOff>
      <xdr:row>4</xdr:row>
      <xdr:rowOff>11430</xdr:rowOff>
    </xdr:to>
    <xdr:pic>
      <xdr:nvPicPr>
        <xdr:cNvPr id="2" name="图片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4"/>
        <a:stretch>
          <a:fillRect/>
        </a:stretch>
      </xdr:blipFill>
      <xdr:spPr>
        <a:xfrm>
          <a:off x="8013700" y="431800"/>
          <a:ext cx="396240" cy="41783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istrator\Desktop\dnd5e&#20154;&#29289;&#21345;&#27169;&#26495;v1.83&#947;%20ff.xlsm" TargetMode="External"/><Relationship Id="rId1" Type="http://schemas.openxmlformats.org/officeDocument/2006/relationships/externalLinkPath" Target="file:///C:\Users\Administrator\Desktop\dnd5e&#20154;&#29289;&#21345;&#27169;&#26495;v1.83&#947;%20f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角色"/>
      <sheetName val="主要情况"/>
      <sheetName val="背包"/>
      <sheetName val="施法"/>
      <sheetName val="法术大全"/>
      <sheetName val="图表"/>
      <sheetName val="属性计算器&amp;自定义调整栏"/>
      <sheetName val="导入海豹骰或梨骰"/>
      <sheetName val="更新日志&amp;在线更新"/>
      <sheetName val="录卡"/>
    </sheetNames>
    <sheetDataSet>
      <sheetData sheetId="0"/>
      <sheetData sheetId="1">
        <row r="8">
          <cell r="G8">
            <v>3</v>
          </cell>
        </row>
        <row r="10">
          <cell r="G10">
            <v>0</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wrap="square" rtlCol="0" anchor="t"/>
      <a:lstStyle>
        <a:defPPr algn="l">
          <a:defRPr lang="zh-CN" altLang="en-US" sz="1100"/>
        </a:defPPr>
      </a:lstStyle>
      <a:style>
        <a:lnRef idx="2">
          <a:schemeClr val="accent1"/>
        </a:lnRef>
        <a:fillRef idx="1">
          <a:schemeClr val="lt1"/>
        </a:fillRef>
        <a:effectRef idx="0">
          <a:schemeClr val="accent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M34"/>
  <sheetViews>
    <sheetView workbookViewId="0">
      <selection activeCell="AV4" sqref="AV4:BM8"/>
    </sheetView>
  </sheetViews>
  <sheetFormatPr defaultColWidth="2.77734375" defaultRowHeight="15" x14ac:dyDescent="0.25"/>
  <cols>
    <col min="1" max="16384" width="2.77734375" style="9"/>
  </cols>
  <sheetData>
    <row r="1" spans="1:65" ht="16.95" customHeight="1" x14ac:dyDescent="0.25">
      <c r="A1" s="397" t="s">
        <v>0</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c r="AO1" s="397"/>
      <c r="AP1" s="397"/>
      <c r="AQ1" s="397"/>
      <c r="AR1" s="397"/>
      <c r="AS1" s="397"/>
      <c r="AT1" s="397"/>
      <c r="AU1" s="397"/>
      <c r="AV1" s="397"/>
      <c r="AW1" s="397"/>
      <c r="AX1" s="397"/>
      <c r="AY1" s="397"/>
      <c r="AZ1" s="397"/>
      <c r="BA1" s="397"/>
      <c r="BB1" s="397"/>
      <c r="BC1" s="397"/>
      <c r="BD1" s="397"/>
      <c r="BE1" s="397"/>
      <c r="BF1" s="397"/>
      <c r="BG1" s="397"/>
      <c r="BH1" s="397"/>
      <c r="BI1" s="397"/>
      <c r="BJ1" s="397"/>
      <c r="BK1" s="397"/>
      <c r="BL1" s="397"/>
      <c r="BM1" s="397"/>
    </row>
    <row r="2" spans="1:65" ht="16.95" customHeight="1" x14ac:dyDescent="0.25"/>
    <row r="3" spans="1:65" ht="16.95" customHeight="1" x14ac:dyDescent="0.25">
      <c r="B3" s="380" t="s">
        <v>1</v>
      </c>
      <c r="C3" s="380"/>
      <c r="D3" s="380"/>
      <c r="E3" s="387"/>
      <c r="F3" s="388"/>
      <c r="G3" s="388"/>
      <c r="H3" s="388"/>
      <c r="I3" s="388"/>
      <c r="J3" s="388"/>
      <c r="K3" s="388"/>
      <c r="L3" s="388"/>
      <c r="M3" s="389"/>
      <c r="O3" s="382" t="s">
        <v>2</v>
      </c>
      <c r="P3" s="382"/>
      <c r="Q3" s="382"/>
      <c r="R3" s="382"/>
      <c r="S3" s="381" t="str">
        <f>背景数据!M2</f>
        <v/>
      </c>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V3" s="382" t="s">
        <v>3</v>
      </c>
      <c r="AW3" s="382"/>
      <c r="AX3" s="382"/>
      <c r="AY3" s="382"/>
      <c r="AZ3" s="382"/>
      <c r="BA3" s="382"/>
      <c r="BB3" s="382"/>
      <c r="BC3" s="382"/>
      <c r="BD3" s="382"/>
      <c r="BE3" s="382"/>
      <c r="BF3" s="382"/>
      <c r="BG3" s="382"/>
      <c r="BH3" s="382"/>
      <c r="BI3" s="382"/>
      <c r="BJ3" s="382"/>
      <c r="BK3" s="382"/>
      <c r="BL3" s="382"/>
      <c r="BM3" s="382"/>
    </row>
    <row r="4" spans="1:65" ht="16.95" customHeight="1" x14ac:dyDescent="0.25">
      <c r="B4" s="380" t="s">
        <v>4</v>
      </c>
      <c r="C4" s="380"/>
      <c r="D4" s="380"/>
      <c r="E4" s="384"/>
      <c r="F4" s="385"/>
      <c r="G4" s="385"/>
      <c r="H4" s="385"/>
      <c r="I4" s="385"/>
      <c r="J4" s="385"/>
      <c r="K4" s="385"/>
      <c r="L4" s="385"/>
      <c r="M4" s="386"/>
      <c r="O4" s="382"/>
      <c r="P4" s="382"/>
      <c r="Q4" s="382"/>
      <c r="R4" s="382"/>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V4" s="379"/>
      <c r="AW4" s="379"/>
      <c r="AX4" s="379"/>
      <c r="AY4" s="379"/>
      <c r="AZ4" s="379"/>
      <c r="BA4" s="379"/>
      <c r="BB4" s="379"/>
      <c r="BC4" s="379"/>
      <c r="BD4" s="379"/>
      <c r="BE4" s="379"/>
      <c r="BF4" s="379"/>
      <c r="BG4" s="379"/>
      <c r="BH4" s="379"/>
      <c r="BI4" s="379"/>
      <c r="BJ4" s="379"/>
      <c r="BK4" s="379"/>
      <c r="BL4" s="379"/>
      <c r="BM4" s="379"/>
    </row>
    <row r="5" spans="1:65" ht="16.95" customHeight="1" x14ac:dyDescent="0.25">
      <c r="B5" s="380" t="s">
        <v>5</v>
      </c>
      <c r="C5" s="380"/>
      <c r="D5" s="380"/>
      <c r="E5" s="387"/>
      <c r="F5" s="388"/>
      <c r="G5" s="388"/>
      <c r="H5" s="388"/>
      <c r="I5" s="388"/>
      <c r="J5" s="388"/>
      <c r="K5" s="388"/>
      <c r="L5" s="388"/>
      <c r="M5" s="389"/>
      <c r="O5" s="382" t="s">
        <v>6</v>
      </c>
      <c r="P5" s="382"/>
      <c r="Q5" s="382"/>
      <c r="R5" s="382"/>
      <c r="S5" s="381" t="str">
        <f>背景数据!N2</f>
        <v/>
      </c>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V5" s="379"/>
      <c r="AW5" s="379"/>
      <c r="AX5" s="379"/>
      <c r="AY5" s="379"/>
      <c r="AZ5" s="379"/>
      <c r="BA5" s="379"/>
      <c r="BB5" s="379"/>
      <c r="BC5" s="379"/>
      <c r="BD5" s="379"/>
      <c r="BE5" s="379"/>
      <c r="BF5" s="379"/>
      <c r="BG5" s="379"/>
      <c r="BH5" s="379"/>
      <c r="BI5" s="379"/>
      <c r="BJ5" s="379"/>
      <c r="BK5" s="379"/>
      <c r="BL5" s="379"/>
      <c r="BM5" s="379"/>
    </row>
    <row r="6" spans="1:65" ht="16.95" customHeight="1" x14ac:dyDescent="0.25">
      <c r="B6" s="380" t="s">
        <v>7</v>
      </c>
      <c r="C6" s="380"/>
      <c r="D6" s="380"/>
      <c r="E6" s="384"/>
      <c r="F6" s="385"/>
      <c r="G6" s="385"/>
      <c r="H6" s="385"/>
      <c r="I6" s="385"/>
      <c r="J6" s="385"/>
      <c r="K6" s="385"/>
      <c r="L6" s="385"/>
      <c r="M6" s="386"/>
      <c r="O6" s="382"/>
      <c r="P6" s="382"/>
      <c r="Q6" s="382"/>
      <c r="R6" s="382"/>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V6" s="379"/>
      <c r="AW6" s="379"/>
      <c r="AX6" s="379"/>
      <c r="AY6" s="379"/>
      <c r="AZ6" s="379"/>
      <c r="BA6" s="379"/>
      <c r="BB6" s="379"/>
      <c r="BC6" s="379"/>
      <c r="BD6" s="379"/>
      <c r="BE6" s="379"/>
      <c r="BF6" s="379"/>
      <c r="BG6" s="379"/>
      <c r="BH6" s="379"/>
      <c r="BI6" s="379"/>
      <c r="BJ6" s="379"/>
      <c r="BK6" s="379"/>
      <c r="BL6" s="379"/>
      <c r="BM6" s="379"/>
    </row>
    <row r="7" spans="1:65" ht="16.95" customHeight="1" x14ac:dyDescent="0.25">
      <c r="O7" s="382"/>
      <c r="P7" s="382"/>
      <c r="Q7" s="382"/>
      <c r="R7" s="382"/>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V7" s="379"/>
      <c r="AW7" s="379"/>
      <c r="AX7" s="379"/>
      <c r="AY7" s="379"/>
      <c r="AZ7" s="379"/>
      <c r="BA7" s="379"/>
      <c r="BB7" s="379"/>
      <c r="BC7" s="379"/>
      <c r="BD7" s="379"/>
      <c r="BE7" s="379"/>
      <c r="BF7" s="379"/>
      <c r="BG7" s="379"/>
      <c r="BH7" s="379"/>
      <c r="BI7" s="379"/>
      <c r="BJ7" s="379"/>
      <c r="BK7" s="379"/>
      <c r="BL7" s="379"/>
      <c r="BM7" s="379"/>
    </row>
    <row r="8" spans="1:65" ht="16.95" customHeight="1" x14ac:dyDescent="0.25">
      <c r="B8" s="380" t="s">
        <v>8</v>
      </c>
      <c r="C8" s="380"/>
      <c r="D8" s="379"/>
      <c r="E8" s="379"/>
      <c r="F8" s="379"/>
      <c r="G8" s="379"/>
      <c r="H8" s="380" t="s">
        <v>9</v>
      </c>
      <c r="I8" s="380"/>
      <c r="J8" s="379"/>
      <c r="K8" s="379"/>
      <c r="L8" s="379"/>
      <c r="M8" s="379"/>
      <c r="O8" s="382"/>
      <c r="P8" s="382"/>
      <c r="Q8" s="382"/>
      <c r="R8" s="382"/>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V8" s="379"/>
      <c r="AW8" s="379"/>
      <c r="AX8" s="379"/>
      <c r="AY8" s="379"/>
      <c r="AZ8" s="379"/>
      <c r="BA8" s="379"/>
      <c r="BB8" s="379"/>
      <c r="BC8" s="379"/>
      <c r="BD8" s="379"/>
      <c r="BE8" s="379"/>
      <c r="BF8" s="379"/>
      <c r="BG8" s="379"/>
      <c r="BH8" s="379"/>
      <c r="BI8" s="379"/>
      <c r="BJ8" s="379"/>
      <c r="BK8" s="379"/>
      <c r="BL8" s="379"/>
      <c r="BM8" s="379"/>
    </row>
    <row r="9" spans="1:65" ht="16.95" customHeight="1" x14ac:dyDescent="0.25">
      <c r="B9" s="380" t="s">
        <v>10</v>
      </c>
      <c r="C9" s="380"/>
      <c r="D9" s="396"/>
      <c r="E9" s="396"/>
      <c r="F9" s="396"/>
      <c r="G9" s="396"/>
      <c r="H9" s="380" t="s">
        <v>11</v>
      </c>
      <c r="I9" s="380"/>
      <c r="J9" s="396"/>
      <c r="K9" s="396"/>
      <c r="L9" s="396"/>
      <c r="M9" s="396"/>
      <c r="AV9" s="382" t="s">
        <v>12</v>
      </c>
      <c r="AW9" s="382"/>
      <c r="AX9" s="382"/>
      <c r="AY9" s="382"/>
      <c r="AZ9" s="382"/>
      <c r="BA9" s="382"/>
      <c r="BB9" s="382"/>
      <c r="BC9" s="382"/>
      <c r="BD9" s="382"/>
      <c r="BE9" s="382"/>
      <c r="BF9" s="382"/>
      <c r="BG9" s="382"/>
      <c r="BH9" s="382"/>
      <c r="BI9" s="382"/>
      <c r="BJ9" s="382"/>
      <c r="BK9" s="382"/>
      <c r="BL9" s="382"/>
      <c r="BM9" s="382"/>
    </row>
    <row r="10" spans="1:65" ht="16.95" customHeight="1" x14ac:dyDescent="0.25">
      <c r="O10" s="382" t="s">
        <v>13</v>
      </c>
      <c r="P10" s="382"/>
      <c r="Q10" s="382"/>
      <c r="R10" s="382"/>
      <c r="S10" s="395"/>
      <c r="T10" s="395"/>
      <c r="U10" s="395"/>
      <c r="V10" s="395"/>
      <c r="W10" s="395"/>
      <c r="X10" s="395"/>
      <c r="Y10" s="395"/>
      <c r="Z10" s="395"/>
      <c r="AA10" s="395"/>
      <c r="AB10" s="395"/>
      <c r="AC10" s="395"/>
      <c r="AD10" s="395"/>
      <c r="AE10" s="395"/>
      <c r="AF10" s="395"/>
      <c r="AG10" s="395"/>
      <c r="AH10" s="395"/>
      <c r="AI10" s="395"/>
      <c r="AJ10" s="395"/>
      <c r="AK10" s="395"/>
      <c r="AL10" s="395"/>
      <c r="AM10" s="395"/>
      <c r="AN10" s="395"/>
      <c r="AO10" s="395"/>
      <c r="AP10" s="395"/>
      <c r="AQ10" s="395"/>
      <c r="AR10" s="395"/>
      <c r="AS10" s="395"/>
      <c r="AT10" s="395"/>
      <c r="AV10" s="379"/>
      <c r="AW10" s="379"/>
      <c r="AX10" s="379"/>
      <c r="AY10" s="379"/>
      <c r="AZ10" s="379"/>
      <c r="BA10" s="379"/>
      <c r="BB10" s="379"/>
      <c r="BC10" s="379"/>
      <c r="BD10" s="379"/>
      <c r="BE10" s="379"/>
      <c r="BF10" s="379"/>
      <c r="BG10" s="379"/>
      <c r="BH10" s="379"/>
      <c r="BI10" s="379"/>
      <c r="BJ10" s="379"/>
      <c r="BK10" s="379"/>
      <c r="BL10" s="379"/>
      <c r="BM10" s="379"/>
    </row>
    <row r="11" spans="1:65" ht="16.95" customHeight="1" x14ac:dyDescent="0.25">
      <c r="B11" s="382" t="s">
        <v>14</v>
      </c>
      <c r="C11" s="382"/>
      <c r="D11" s="382"/>
      <c r="E11" s="382"/>
      <c r="F11" s="382"/>
      <c r="G11" s="382"/>
      <c r="H11" s="382"/>
      <c r="I11" s="382"/>
      <c r="J11" s="382"/>
      <c r="K11" s="382"/>
      <c r="L11" s="382"/>
      <c r="M11" s="382"/>
      <c r="O11" s="382"/>
      <c r="P11" s="382"/>
      <c r="Q11" s="382"/>
      <c r="R11" s="382"/>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V11" s="379"/>
      <c r="AW11" s="379"/>
      <c r="AX11" s="379"/>
      <c r="AY11" s="379"/>
      <c r="AZ11" s="379"/>
      <c r="BA11" s="379"/>
      <c r="BB11" s="379"/>
      <c r="BC11" s="379"/>
      <c r="BD11" s="379"/>
      <c r="BE11" s="379"/>
      <c r="BF11" s="379"/>
      <c r="BG11" s="379"/>
      <c r="BH11" s="379"/>
      <c r="BI11" s="379"/>
      <c r="BJ11" s="379"/>
      <c r="BK11" s="379"/>
      <c r="BL11" s="379"/>
      <c r="BM11" s="379"/>
    </row>
    <row r="12" spans="1:65" ht="16.95" customHeight="1" x14ac:dyDescent="0.25">
      <c r="B12" s="391" t="s">
        <v>15</v>
      </c>
      <c r="C12" s="392"/>
      <c r="D12" s="393"/>
      <c r="E12" s="381" t="str">
        <f>背景数据!I2</f>
        <v/>
      </c>
      <c r="F12" s="381"/>
      <c r="G12" s="381"/>
      <c r="H12" s="381"/>
      <c r="I12" s="381"/>
      <c r="J12" s="381"/>
      <c r="K12" s="381"/>
      <c r="L12" s="381"/>
      <c r="M12" s="381"/>
      <c r="O12" s="382" t="s">
        <v>16</v>
      </c>
      <c r="P12" s="382"/>
      <c r="Q12" s="382"/>
      <c r="R12" s="382"/>
      <c r="S12" s="395"/>
      <c r="T12" s="395"/>
      <c r="U12" s="395"/>
      <c r="V12" s="395"/>
      <c r="W12" s="395"/>
      <c r="X12" s="395"/>
      <c r="Y12" s="395"/>
      <c r="Z12" s="395"/>
      <c r="AA12" s="395"/>
      <c r="AB12" s="395"/>
      <c r="AC12" s="395"/>
      <c r="AD12" s="395"/>
      <c r="AE12" s="395"/>
      <c r="AF12" s="395"/>
      <c r="AG12" s="395"/>
      <c r="AH12" s="395"/>
      <c r="AI12" s="395"/>
      <c r="AJ12" s="395"/>
      <c r="AK12" s="395"/>
      <c r="AL12" s="395"/>
      <c r="AM12" s="395"/>
      <c r="AN12" s="395"/>
      <c r="AO12" s="395"/>
      <c r="AP12" s="395"/>
      <c r="AQ12" s="395"/>
      <c r="AR12" s="395"/>
      <c r="AS12" s="395"/>
      <c r="AT12" s="395"/>
      <c r="AV12" s="379"/>
      <c r="AW12" s="379"/>
      <c r="AX12" s="379"/>
      <c r="AY12" s="379"/>
      <c r="AZ12" s="379"/>
      <c r="BA12" s="379"/>
      <c r="BB12" s="379"/>
      <c r="BC12" s="379"/>
      <c r="BD12" s="379"/>
      <c r="BE12" s="379"/>
      <c r="BF12" s="379"/>
      <c r="BG12" s="379"/>
      <c r="BH12" s="379"/>
      <c r="BI12" s="379"/>
      <c r="BJ12" s="379"/>
      <c r="BK12" s="379"/>
      <c r="BL12" s="379"/>
      <c r="BM12" s="379"/>
    </row>
    <row r="13" spans="1:65" ht="16.95" customHeight="1" x14ac:dyDescent="0.25">
      <c r="B13" s="391" t="s">
        <v>17</v>
      </c>
      <c r="C13" s="392"/>
      <c r="D13" s="393"/>
      <c r="E13" s="390" t="str">
        <f>背景数据!J2</f>
        <v/>
      </c>
      <c r="F13" s="390"/>
      <c r="G13" s="390"/>
      <c r="H13" s="390"/>
      <c r="I13" s="390"/>
      <c r="J13" s="390"/>
      <c r="K13" s="390"/>
      <c r="L13" s="390"/>
      <c r="M13" s="390"/>
      <c r="O13" s="382" t="s">
        <v>18</v>
      </c>
      <c r="P13" s="382"/>
      <c r="Q13" s="382"/>
      <c r="R13" s="382"/>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V13" s="379"/>
      <c r="AW13" s="379"/>
      <c r="AX13" s="379"/>
      <c r="AY13" s="379"/>
      <c r="AZ13" s="379"/>
      <c r="BA13" s="379"/>
      <c r="BB13" s="379"/>
      <c r="BC13" s="379"/>
      <c r="BD13" s="379"/>
      <c r="BE13" s="379"/>
      <c r="BF13" s="379"/>
      <c r="BG13" s="379"/>
      <c r="BH13" s="379"/>
      <c r="BI13" s="379"/>
      <c r="BJ13" s="379"/>
      <c r="BK13" s="379"/>
      <c r="BL13" s="379"/>
      <c r="BM13" s="379"/>
    </row>
    <row r="14" spans="1:65" ht="16.95" customHeight="1" x14ac:dyDescent="0.25">
      <c r="B14" s="391" t="s">
        <v>19</v>
      </c>
      <c r="C14" s="392"/>
      <c r="D14" s="393"/>
      <c r="E14" s="381" t="str">
        <f>背景数据!K2</f>
        <v/>
      </c>
      <c r="F14" s="381"/>
      <c r="G14" s="381"/>
      <c r="H14" s="381"/>
      <c r="I14" s="381"/>
      <c r="J14" s="381"/>
      <c r="K14" s="381"/>
      <c r="L14" s="381"/>
      <c r="M14" s="381"/>
      <c r="O14" s="382" t="s">
        <v>20</v>
      </c>
      <c r="P14" s="382"/>
      <c r="Q14" s="382"/>
      <c r="R14" s="382"/>
      <c r="S14" s="395"/>
      <c r="T14" s="395"/>
      <c r="U14" s="395"/>
      <c r="V14" s="395"/>
      <c r="W14" s="395"/>
      <c r="X14" s="395"/>
      <c r="Y14" s="395"/>
      <c r="Z14" s="395"/>
      <c r="AA14" s="395"/>
      <c r="AB14" s="395"/>
      <c r="AC14" s="395"/>
      <c r="AD14" s="395"/>
      <c r="AE14" s="395"/>
      <c r="AF14" s="395"/>
      <c r="AG14" s="395"/>
      <c r="AH14" s="395"/>
      <c r="AI14" s="395"/>
      <c r="AJ14" s="395"/>
      <c r="AK14" s="395"/>
      <c r="AL14" s="395"/>
      <c r="AM14" s="395"/>
      <c r="AN14" s="395"/>
      <c r="AO14" s="395"/>
      <c r="AP14" s="395"/>
      <c r="AQ14" s="395"/>
      <c r="AR14" s="395"/>
      <c r="AS14" s="395"/>
      <c r="AT14" s="395"/>
      <c r="AV14" s="379"/>
      <c r="AW14" s="379"/>
      <c r="AX14" s="379"/>
      <c r="AY14" s="379"/>
      <c r="AZ14" s="379"/>
      <c r="BA14" s="379"/>
      <c r="BB14" s="379"/>
      <c r="BC14" s="379"/>
      <c r="BD14" s="379"/>
      <c r="BE14" s="379"/>
      <c r="BF14" s="379"/>
      <c r="BG14" s="379"/>
      <c r="BH14" s="379"/>
      <c r="BI14" s="379"/>
      <c r="BJ14" s="379"/>
      <c r="BK14" s="379"/>
      <c r="BL14" s="379"/>
      <c r="BM14" s="379"/>
    </row>
    <row r="15" spans="1:65" ht="16.95" customHeight="1" x14ac:dyDescent="0.25">
      <c r="B15" s="391" t="s">
        <v>21</v>
      </c>
      <c r="C15" s="392"/>
      <c r="D15" s="393"/>
      <c r="E15" s="390" t="str">
        <f>背景数据!L2</f>
        <v/>
      </c>
      <c r="F15" s="390"/>
      <c r="G15" s="390"/>
      <c r="H15" s="390"/>
      <c r="I15" s="390"/>
      <c r="J15" s="390"/>
      <c r="K15" s="390"/>
      <c r="L15" s="390"/>
      <c r="M15" s="390"/>
      <c r="AV15" s="379"/>
      <c r="AW15" s="379"/>
      <c r="AX15" s="379"/>
      <c r="AY15" s="379"/>
      <c r="AZ15" s="379"/>
      <c r="BA15" s="379"/>
      <c r="BB15" s="379"/>
      <c r="BC15" s="379"/>
      <c r="BD15" s="379"/>
      <c r="BE15" s="379"/>
      <c r="BF15" s="379"/>
      <c r="BG15" s="379"/>
      <c r="BH15" s="379"/>
      <c r="BI15" s="379"/>
      <c r="BJ15" s="379"/>
      <c r="BK15" s="379"/>
      <c r="BL15" s="379"/>
      <c r="BM15" s="379"/>
    </row>
    <row r="16" spans="1:65" ht="16.95" customHeight="1" x14ac:dyDescent="0.25">
      <c r="O16" s="383" t="s">
        <v>22</v>
      </c>
      <c r="P16" s="383"/>
      <c r="Q16" s="383"/>
      <c r="R16" s="383"/>
      <c r="S16" s="379"/>
      <c r="T16" s="379"/>
      <c r="U16" s="379"/>
      <c r="V16" s="379"/>
      <c r="W16" s="379"/>
      <c r="X16" s="379"/>
      <c r="Y16" s="379"/>
      <c r="Z16" s="379"/>
      <c r="AA16" s="379"/>
      <c r="AB16" s="379"/>
      <c r="AC16" s="379"/>
      <c r="AD16" s="379"/>
      <c r="AE16" s="379"/>
      <c r="AF16" s="379"/>
      <c r="AG16" s="379"/>
      <c r="AH16" s="379"/>
      <c r="AI16" s="379"/>
      <c r="AJ16" s="379"/>
      <c r="AK16" s="379"/>
      <c r="AL16" s="379"/>
      <c r="AM16" s="379"/>
      <c r="AN16" s="379"/>
      <c r="AO16" s="379"/>
      <c r="AP16" s="379"/>
      <c r="AQ16" s="379"/>
      <c r="AR16" s="379"/>
      <c r="AS16" s="379"/>
      <c r="AT16" s="379"/>
      <c r="AV16" s="379"/>
      <c r="AW16" s="379"/>
      <c r="AX16" s="379"/>
      <c r="AY16" s="379"/>
      <c r="AZ16" s="379"/>
      <c r="BA16" s="379"/>
      <c r="BB16" s="379"/>
      <c r="BC16" s="379"/>
      <c r="BD16" s="379"/>
      <c r="BE16" s="379"/>
      <c r="BF16" s="379"/>
      <c r="BG16" s="379"/>
      <c r="BH16" s="379"/>
      <c r="BI16" s="379"/>
      <c r="BJ16" s="379"/>
      <c r="BK16" s="379"/>
      <c r="BL16" s="379"/>
      <c r="BM16" s="379"/>
    </row>
    <row r="17" spans="2:65" ht="16.95" customHeight="1" x14ac:dyDescent="0.25">
      <c r="B17" s="380" t="s">
        <v>4405</v>
      </c>
      <c r="C17" s="380"/>
      <c r="D17" s="380"/>
      <c r="E17" s="380"/>
      <c r="F17" s="380"/>
      <c r="G17" s="380"/>
      <c r="H17" s="380"/>
      <c r="I17" s="380"/>
      <c r="J17" s="380"/>
      <c r="K17" s="380"/>
      <c r="L17" s="380"/>
      <c r="M17" s="380"/>
      <c r="O17" s="383"/>
      <c r="P17" s="383"/>
      <c r="Q17" s="383"/>
      <c r="R17" s="383"/>
      <c r="S17" s="379"/>
      <c r="T17" s="379"/>
      <c r="U17" s="379"/>
      <c r="V17" s="379"/>
      <c r="W17" s="379"/>
      <c r="X17" s="379"/>
      <c r="Y17" s="379"/>
      <c r="Z17" s="379"/>
      <c r="AA17" s="379"/>
      <c r="AB17" s="379"/>
      <c r="AC17" s="379"/>
      <c r="AD17" s="379"/>
      <c r="AE17" s="379"/>
      <c r="AF17" s="379"/>
      <c r="AG17" s="379"/>
      <c r="AH17" s="379"/>
      <c r="AI17" s="379"/>
      <c r="AJ17" s="379"/>
      <c r="AK17" s="379"/>
      <c r="AL17" s="379"/>
      <c r="AM17" s="379"/>
      <c r="AN17" s="379"/>
      <c r="AO17" s="379"/>
      <c r="AP17" s="379"/>
      <c r="AQ17" s="379"/>
      <c r="AR17" s="379"/>
      <c r="AS17" s="379"/>
      <c r="AT17" s="379"/>
      <c r="AV17" s="379"/>
      <c r="AW17" s="379"/>
      <c r="AX17" s="379"/>
      <c r="AY17" s="379"/>
      <c r="AZ17" s="379"/>
      <c r="BA17" s="379"/>
      <c r="BB17" s="379"/>
      <c r="BC17" s="379"/>
      <c r="BD17" s="379"/>
      <c r="BE17" s="379"/>
      <c r="BF17" s="379"/>
      <c r="BG17" s="379"/>
      <c r="BH17" s="379"/>
      <c r="BI17" s="379"/>
      <c r="BJ17" s="379"/>
      <c r="BK17" s="379"/>
      <c r="BL17" s="379"/>
      <c r="BM17" s="379"/>
    </row>
    <row r="18" spans="2:65" ht="16.95" customHeight="1" x14ac:dyDescent="0.25">
      <c r="B18" s="387"/>
      <c r="C18" s="388"/>
      <c r="D18" s="388"/>
      <c r="E18" s="388"/>
      <c r="F18" s="388"/>
      <c r="G18" s="389"/>
      <c r="H18" s="387"/>
      <c r="I18" s="388"/>
      <c r="J18" s="388"/>
      <c r="K18" s="388"/>
      <c r="L18" s="388"/>
      <c r="M18" s="389"/>
      <c r="O18" s="383"/>
      <c r="P18" s="383"/>
      <c r="Q18" s="383"/>
      <c r="R18" s="383"/>
      <c r="S18" s="379"/>
      <c r="T18" s="379"/>
      <c r="U18" s="379"/>
      <c r="V18" s="379"/>
      <c r="W18" s="379"/>
      <c r="X18" s="379"/>
      <c r="Y18" s="379"/>
      <c r="Z18" s="379"/>
      <c r="AA18" s="379"/>
      <c r="AB18" s="379"/>
      <c r="AC18" s="379"/>
      <c r="AD18" s="379"/>
      <c r="AE18" s="379"/>
      <c r="AF18" s="379"/>
      <c r="AG18" s="379"/>
      <c r="AH18" s="379"/>
      <c r="AI18" s="379"/>
      <c r="AJ18" s="379"/>
      <c r="AK18" s="379"/>
      <c r="AL18" s="379"/>
      <c r="AM18" s="379"/>
      <c r="AN18" s="379"/>
      <c r="AO18" s="379"/>
      <c r="AP18" s="379"/>
      <c r="AQ18" s="379"/>
      <c r="AR18" s="379"/>
      <c r="AS18" s="379"/>
      <c r="AT18" s="379"/>
      <c r="AV18" s="379"/>
      <c r="AW18" s="379"/>
      <c r="AX18" s="379"/>
      <c r="AY18" s="379"/>
      <c r="AZ18" s="379"/>
      <c r="BA18" s="379"/>
      <c r="BB18" s="379"/>
      <c r="BC18" s="379"/>
      <c r="BD18" s="379"/>
      <c r="BE18" s="379"/>
      <c r="BF18" s="379"/>
      <c r="BG18" s="379"/>
      <c r="BH18" s="379"/>
      <c r="BI18" s="379"/>
      <c r="BJ18" s="379"/>
      <c r="BK18" s="379"/>
      <c r="BL18" s="379"/>
      <c r="BM18" s="379"/>
    </row>
    <row r="19" spans="2:65" ht="16.95" customHeight="1" x14ac:dyDescent="0.25">
      <c r="B19" s="384"/>
      <c r="C19" s="385"/>
      <c r="D19" s="385"/>
      <c r="E19" s="385"/>
      <c r="F19" s="385"/>
      <c r="G19" s="386"/>
      <c r="H19" s="384"/>
      <c r="I19" s="385"/>
      <c r="J19" s="385"/>
      <c r="K19" s="385"/>
      <c r="L19" s="385"/>
      <c r="M19" s="386"/>
      <c r="O19" s="383"/>
      <c r="P19" s="383"/>
      <c r="Q19" s="383"/>
      <c r="R19" s="383"/>
      <c r="S19" s="379"/>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V19" s="379"/>
      <c r="AW19" s="379"/>
      <c r="AX19" s="379"/>
      <c r="AY19" s="379"/>
      <c r="AZ19" s="379"/>
      <c r="BA19" s="379"/>
      <c r="BB19" s="379"/>
      <c r="BC19" s="379"/>
      <c r="BD19" s="379"/>
      <c r="BE19" s="379"/>
      <c r="BF19" s="379"/>
      <c r="BG19" s="379"/>
      <c r="BH19" s="379"/>
      <c r="BI19" s="379"/>
      <c r="BJ19" s="379"/>
      <c r="BK19" s="379"/>
      <c r="BL19" s="379"/>
      <c r="BM19" s="379"/>
    </row>
    <row r="20" spans="2:65" ht="16.95" customHeight="1" x14ac:dyDescent="0.25">
      <c r="B20" s="387"/>
      <c r="C20" s="388"/>
      <c r="D20" s="388"/>
      <c r="E20" s="388"/>
      <c r="F20" s="388"/>
      <c r="G20" s="389"/>
      <c r="H20" s="387"/>
      <c r="I20" s="388"/>
      <c r="J20" s="388"/>
      <c r="K20" s="388"/>
      <c r="L20" s="388"/>
      <c r="M20" s="389"/>
      <c r="O20" s="383"/>
      <c r="P20" s="383"/>
      <c r="Q20" s="383"/>
      <c r="R20" s="383"/>
      <c r="S20" s="379"/>
      <c r="T20" s="379"/>
      <c r="U20" s="379"/>
      <c r="V20" s="379"/>
      <c r="W20" s="379"/>
      <c r="X20" s="379"/>
      <c r="Y20" s="379"/>
      <c r="Z20" s="379"/>
      <c r="AA20" s="379"/>
      <c r="AB20" s="379"/>
      <c r="AC20" s="379"/>
      <c r="AD20" s="379"/>
      <c r="AE20" s="379"/>
      <c r="AF20" s="379"/>
      <c r="AG20" s="379"/>
      <c r="AH20" s="379"/>
      <c r="AI20" s="379"/>
      <c r="AJ20" s="379"/>
      <c r="AK20" s="379"/>
      <c r="AL20" s="379"/>
      <c r="AM20" s="379"/>
      <c r="AN20" s="379"/>
      <c r="AO20" s="379"/>
      <c r="AP20" s="379"/>
      <c r="AQ20" s="379"/>
      <c r="AR20" s="379"/>
      <c r="AS20" s="379"/>
      <c r="AT20" s="379"/>
      <c r="AV20" s="379"/>
      <c r="AW20" s="379"/>
      <c r="AX20" s="379"/>
      <c r="AY20" s="379"/>
      <c r="AZ20" s="379"/>
      <c r="BA20" s="379"/>
      <c r="BB20" s="379"/>
      <c r="BC20" s="379"/>
      <c r="BD20" s="379"/>
      <c r="BE20" s="379"/>
      <c r="BF20" s="379"/>
      <c r="BG20" s="379"/>
      <c r="BH20" s="379"/>
      <c r="BI20" s="379"/>
      <c r="BJ20" s="379"/>
      <c r="BK20" s="379"/>
      <c r="BL20" s="379"/>
      <c r="BM20" s="379"/>
    </row>
    <row r="21" spans="2:65" ht="16.95" customHeight="1" x14ac:dyDescent="0.25">
      <c r="B21" s="384"/>
      <c r="C21" s="385"/>
      <c r="D21" s="385"/>
      <c r="E21" s="385"/>
      <c r="F21" s="385"/>
      <c r="G21" s="386"/>
      <c r="H21" s="384"/>
      <c r="I21" s="385"/>
      <c r="J21" s="385"/>
      <c r="K21" s="385"/>
      <c r="L21" s="385"/>
      <c r="M21" s="386"/>
      <c r="O21" s="383"/>
      <c r="P21" s="383"/>
      <c r="Q21" s="383"/>
      <c r="R21" s="383"/>
      <c r="S21" s="379"/>
      <c r="T21" s="379"/>
      <c r="U21" s="379"/>
      <c r="V21" s="379"/>
      <c r="W21" s="379"/>
      <c r="X21" s="379"/>
      <c r="Y21" s="379"/>
      <c r="Z21" s="379"/>
      <c r="AA21" s="379"/>
      <c r="AB21" s="379"/>
      <c r="AC21" s="379"/>
      <c r="AD21" s="379"/>
      <c r="AE21" s="379"/>
      <c r="AF21" s="379"/>
      <c r="AG21" s="379"/>
      <c r="AH21" s="379"/>
      <c r="AI21" s="379"/>
      <c r="AJ21" s="379"/>
      <c r="AK21" s="379"/>
      <c r="AL21" s="379"/>
      <c r="AM21" s="379"/>
      <c r="AN21" s="379"/>
      <c r="AO21" s="379"/>
      <c r="AP21" s="379"/>
      <c r="AQ21" s="379"/>
      <c r="AR21" s="379"/>
      <c r="AS21" s="379"/>
      <c r="AT21" s="379"/>
      <c r="AV21" s="379"/>
      <c r="AW21" s="379"/>
      <c r="AX21" s="379"/>
      <c r="AY21" s="379"/>
      <c r="AZ21" s="379"/>
      <c r="BA21" s="379"/>
      <c r="BB21" s="379"/>
      <c r="BC21" s="379"/>
      <c r="BD21" s="379"/>
      <c r="BE21" s="379"/>
      <c r="BF21" s="379"/>
      <c r="BG21" s="379"/>
      <c r="BH21" s="379"/>
      <c r="BI21" s="379"/>
      <c r="BJ21" s="379"/>
      <c r="BK21" s="379"/>
      <c r="BL21" s="379"/>
      <c r="BM21" s="379"/>
    </row>
    <row r="22" spans="2:65" ht="16.95" customHeight="1" x14ac:dyDescent="0.25">
      <c r="O22" s="383"/>
      <c r="P22" s="383"/>
      <c r="Q22" s="383"/>
      <c r="R22" s="383"/>
      <c r="S22" s="379"/>
      <c r="T22" s="379"/>
      <c r="U22" s="379"/>
      <c r="V22" s="379"/>
      <c r="W22" s="379"/>
      <c r="X22" s="379"/>
      <c r="Y22" s="379"/>
      <c r="Z22" s="379"/>
      <c r="AA22" s="379"/>
      <c r="AB22" s="379"/>
      <c r="AC22" s="379"/>
      <c r="AD22" s="379"/>
      <c r="AE22" s="379"/>
      <c r="AF22" s="379"/>
      <c r="AG22" s="379"/>
      <c r="AH22" s="379"/>
      <c r="AI22" s="379"/>
      <c r="AJ22" s="379"/>
      <c r="AK22" s="379"/>
      <c r="AL22" s="379"/>
      <c r="AM22" s="379"/>
      <c r="AN22" s="379"/>
      <c r="AO22" s="379"/>
      <c r="AP22" s="379"/>
      <c r="AQ22" s="379"/>
      <c r="AR22" s="379"/>
      <c r="AS22" s="379"/>
      <c r="AT22" s="379"/>
      <c r="AV22" s="379"/>
      <c r="AW22" s="379"/>
      <c r="AX22" s="379"/>
      <c r="AY22" s="379"/>
      <c r="AZ22" s="379"/>
      <c r="BA22" s="379"/>
      <c r="BB22" s="379"/>
      <c r="BC22" s="379"/>
      <c r="BD22" s="379"/>
      <c r="BE22" s="379"/>
      <c r="BF22" s="379"/>
      <c r="BG22" s="379"/>
      <c r="BH22" s="379"/>
      <c r="BI22" s="379"/>
      <c r="BJ22" s="379"/>
      <c r="BK22" s="379"/>
      <c r="BL22" s="379"/>
      <c r="BM22" s="379"/>
    </row>
    <row r="23" spans="2:65" ht="16.95" customHeight="1" x14ac:dyDescent="0.25">
      <c r="B23" s="380" t="s">
        <v>4404</v>
      </c>
      <c r="C23" s="380"/>
      <c r="D23" s="380"/>
      <c r="E23" s="380"/>
      <c r="F23" s="380"/>
      <c r="G23" s="380"/>
      <c r="H23" s="380"/>
      <c r="I23" s="380"/>
      <c r="J23" s="380"/>
      <c r="K23" s="380"/>
      <c r="L23" s="380"/>
      <c r="M23" s="380"/>
      <c r="O23" s="383"/>
      <c r="P23" s="383"/>
      <c r="Q23" s="383"/>
      <c r="R23" s="383"/>
      <c r="S23" s="379"/>
      <c r="T23" s="379"/>
      <c r="U23" s="379"/>
      <c r="V23" s="379"/>
      <c r="W23" s="379"/>
      <c r="X23" s="379"/>
      <c r="Y23" s="379"/>
      <c r="Z23" s="379"/>
      <c r="AA23" s="379"/>
      <c r="AB23" s="379"/>
      <c r="AC23" s="379"/>
      <c r="AD23" s="379"/>
      <c r="AE23" s="379"/>
      <c r="AF23" s="379"/>
      <c r="AG23" s="379"/>
      <c r="AH23" s="379"/>
      <c r="AI23" s="379"/>
      <c r="AJ23" s="379"/>
      <c r="AK23" s="379"/>
      <c r="AL23" s="379"/>
      <c r="AM23" s="379"/>
      <c r="AN23" s="379"/>
      <c r="AO23" s="379"/>
      <c r="AP23" s="379"/>
      <c r="AQ23" s="379"/>
      <c r="AR23" s="379"/>
      <c r="AS23" s="379"/>
      <c r="AT23" s="379"/>
      <c r="AV23" s="379"/>
      <c r="AW23" s="379"/>
      <c r="AX23" s="379"/>
      <c r="AY23" s="379"/>
      <c r="AZ23" s="379"/>
      <c r="BA23" s="379"/>
      <c r="BB23" s="379"/>
      <c r="BC23" s="379"/>
      <c r="BD23" s="379"/>
      <c r="BE23" s="379"/>
      <c r="BF23" s="379"/>
      <c r="BG23" s="379"/>
      <c r="BH23" s="379"/>
      <c r="BI23" s="379"/>
      <c r="BJ23" s="379"/>
      <c r="BK23" s="379"/>
      <c r="BL23" s="379"/>
      <c r="BM23" s="379"/>
    </row>
    <row r="24" spans="2:65" ht="16.95" customHeight="1" x14ac:dyDescent="0.25">
      <c r="B24" s="387"/>
      <c r="C24" s="388"/>
      <c r="D24" s="388"/>
      <c r="E24" s="388"/>
      <c r="F24" s="388"/>
      <c r="G24" s="389"/>
      <c r="H24" s="387"/>
      <c r="I24" s="388"/>
      <c r="J24" s="388"/>
      <c r="K24" s="388"/>
      <c r="L24" s="388"/>
      <c r="M24" s="389"/>
      <c r="O24" s="383"/>
      <c r="P24" s="383"/>
      <c r="Q24" s="383"/>
      <c r="R24" s="383"/>
      <c r="S24" s="379"/>
      <c r="T24" s="379"/>
      <c r="U24" s="379"/>
      <c r="V24" s="379"/>
      <c r="W24" s="379"/>
      <c r="X24" s="379"/>
      <c r="Y24" s="379"/>
      <c r="Z24" s="379"/>
      <c r="AA24" s="379"/>
      <c r="AB24" s="379"/>
      <c r="AC24" s="379"/>
      <c r="AD24" s="379"/>
      <c r="AE24" s="379"/>
      <c r="AF24" s="379"/>
      <c r="AG24" s="379"/>
      <c r="AH24" s="379"/>
      <c r="AI24" s="379"/>
      <c r="AJ24" s="379"/>
      <c r="AK24" s="379"/>
      <c r="AL24" s="379"/>
      <c r="AM24" s="379"/>
      <c r="AN24" s="379"/>
      <c r="AO24" s="379"/>
      <c r="AP24" s="379"/>
      <c r="AQ24" s="379"/>
      <c r="AR24" s="379"/>
      <c r="AS24" s="379"/>
      <c r="AT24" s="379"/>
      <c r="AV24" s="379"/>
      <c r="AW24" s="379"/>
      <c r="AX24" s="379"/>
      <c r="AY24" s="379"/>
      <c r="AZ24" s="379"/>
      <c r="BA24" s="379"/>
      <c r="BB24" s="379"/>
      <c r="BC24" s="379"/>
      <c r="BD24" s="379"/>
      <c r="BE24" s="379"/>
      <c r="BF24" s="379"/>
      <c r="BG24" s="379"/>
      <c r="BH24" s="379"/>
      <c r="BI24" s="379"/>
      <c r="BJ24" s="379"/>
      <c r="BK24" s="379"/>
      <c r="BL24" s="379"/>
      <c r="BM24" s="379"/>
    </row>
    <row r="25" spans="2:65" ht="16.95" customHeight="1" x14ac:dyDescent="0.25">
      <c r="B25" s="384"/>
      <c r="C25" s="385"/>
      <c r="D25" s="385"/>
      <c r="E25" s="385"/>
      <c r="F25" s="385"/>
      <c r="G25" s="386"/>
      <c r="H25" s="384"/>
      <c r="I25" s="385"/>
      <c r="J25" s="385"/>
      <c r="K25" s="385"/>
      <c r="L25" s="385"/>
      <c r="M25" s="386"/>
      <c r="O25" s="383"/>
      <c r="P25" s="383"/>
      <c r="Q25" s="383"/>
      <c r="R25" s="383"/>
      <c r="S25" s="379"/>
      <c r="T25" s="379"/>
      <c r="U25" s="379"/>
      <c r="V25" s="379"/>
      <c r="W25" s="379"/>
      <c r="X25" s="379"/>
      <c r="Y25" s="379"/>
      <c r="Z25" s="379"/>
      <c r="AA25" s="379"/>
      <c r="AB25" s="379"/>
      <c r="AC25" s="379"/>
      <c r="AD25" s="379"/>
      <c r="AE25" s="379"/>
      <c r="AF25" s="379"/>
      <c r="AG25" s="379"/>
      <c r="AH25" s="379"/>
      <c r="AI25" s="379"/>
      <c r="AJ25" s="379"/>
      <c r="AK25" s="379"/>
      <c r="AL25" s="379"/>
      <c r="AM25" s="379"/>
      <c r="AN25" s="379"/>
      <c r="AO25" s="379"/>
      <c r="AP25" s="379"/>
      <c r="AQ25" s="379"/>
      <c r="AR25" s="379"/>
      <c r="AS25" s="379"/>
      <c r="AT25" s="379"/>
      <c r="AV25" s="379"/>
      <c r="AW25" s="379"/>
      <c r="AX25" s="379"/>
      <c r="AY25" s="379"/>
      <c r="AZ25" s="379"/>
      <c r="BA25" s="379"/>
      <c r="BB25" s="379"/>
      <c r="BC25" s="379"/>
      <c r="BD25" s="379"/>
      <c r="BE25" s="379"/>
      <c r="BF25" s="379"/>
      <c r="BG25" s="379"/>
      <c r="BH25" s="379"/>
      <c r="BI25" s="379"/>
      <c r="BJ25" s="379"/>
      <c r="BK25" s="379"/>
      <c r="BL25" s="379"/>
      <c r="BM25" s="379"/>
    </row>
    <row r="26" spans="2:65" ht="16.95" customHeight="1" x14ac:dyDescent="0.25">
      <c r="B26" s="387"/>
      <c r="C26" s="388"/>
      <c r="D26" s="388"/>
      <c r="E26" s="388"/>
      <c r="F26" s="388"/>
      <c r="G26" s="389"/>
      <c r="H26" s="387"/>
      <c r="I26" s="388"/>
      <c r="J26" s="388"/>
      <c r="K26" s="388"/>
      <c r="L26" s="388"/>
      <c r="M26" s="389"/>
      <c r="O26" s="383"/>
      <c r="P26" s="383"/>
      <c r="Q26" s="383"/>
      <c r="R26" s="383"/>
      <c r="S26" s="379"/>
      <c r="T26" s="379"/>
      <c r="U26" s="379"/>
      <c r="V26" s="379"/>
      <c r="W26" s="379"/>
      <c r="X26" s="379"/>
      <c r="Y26" s="379"/>
      <c r="Z26" s="379"/>
      <c r="AA26" s="379"/>
      <c r="AB26" s="379"/>
      <c r="AC26" s="379"/>
      <c r="AD26" s="379"/>
      <c r="AE26" s="379"/>
      <c r="AF26" s="379"/>
      <c r="AG26" s="379"/>
      <c r="AH26" s="379"/>
      <c r="AI26" s="379"/>
      <c r="AJ26" s="379"/>
      <c r="AK26" s="379"/>
      <c r="AL26" s="379"/>
      <c r="AM26" s="379"/>
      <c r="AN26" s="379"/>
      <c r="AO26" s="379"/>
      <c r="AP26" s="379"/>
      <c r="AQ26" s="379"/>
      <c r="AR26" s="379"/>
      <c r="AS26" s="379"/>
      <c r="AT26" s="379"/>
      <c r="AV26" s="379"/>
      <c r="AW26" s="379"/>
      <c r="AX26" s="379"/>
      <c r="AY26" s="379"/>
      <c r="AZ26" s="379"/>
      <c r="BA26" s="379"/>
      <c r="BB26" s="379"/>
      <c r="BC26" s="379"/>
      <c r="BD26" s="379"/>
      <c r="BE26" s="379"/>
      <c r="BF26" s="379"/>
      <c r="BG26" s="379"/>
      <c r="BH26" s="379"/>
      <c r="BI26" s="379"/>
      <c r="BJ26" s="379"/>
      <c r="BK26" s="379"/>
      <c r="BL26" s="379"/>
      <c r="BM26" s="379"/>
    </row>
    <row r="27" spans="2:65" ht="16.95" customHeight="1" x14ac:dyDescent="0.25">
      <c r="B27" s="384"/>
      <c r="C27" s="385"/>
      <c r="D27" s="385"/>
      <c r="E27" s="385"/>
      <c r="F27" s="385"/>
      <c r="G27" s="386"/>
      <c r="H27" s="384"/>
      <c r="I27" s="385"/>
      <c r="J27" s="385"/>
      <c r="K27" s="385"/>
      <c r="L27" s="385"/>
      <c r="M27" s="386"/>
      <c r="O27" s="383"/>
      <c r="P27" s="383"/>
      <c r="Q27" s="383"/>
      <c r="R27" s="383"/>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79"/>
      <c r="AQ27" s="379"/>
      <c r="AR27" s="379"/>
      <c r="AS27" s="379"/>
      <c r="AT27" s="379"/>
      <c r="AV27" s="379"/>
      <c r="AW27" s="379"/>
      <c r="AX27" s="379"/>
      <c r="AY27" s="379"/>
      <c r="AZ27" s="379"/>
      <c r="BA27" s="379"/>
      <c r="BB27" s="379"/>
      <c r="BC27" s="379"/>
      <c r="BD27" s="379"/>
      <c r="BE27" s="379"/>
      <c r="BF27" s="379"/>
      <c r="BG27" s="379"/>
      <c r="BH27" s="379"/>
      <c r="BI27" s="379"/>
      <c r="BJ27" s="379"/>
      <c r="BK27" s="379"/>
      <c r="BL27" s="379"/>
      <c r="BM27" s="379"/>
    </row>
    <row r="28" spans="2:65" ht="16.95" customHeight="1" x14ac:dyDescent="0.25">
      <c r="O28" s="383"/>
      <c r="P28" s="383"/>
      <c r="Q28" s="383"/>
      <c r="R28" s="383"/>
      <c r="S28" s="379"/>
      <c r="T28" s="379"/>
      <c r="U28" s="379"/>
      <c r="V28" s="379"/>
      <c r="W28" s="379"/>
      <c r="X28" s="379"/>
      <c r="Y28" s="379"/>
      <c r="Z28" s="379"/>
      <c r="AA28" s="379"/>
      <c r="AB28" s="379"/>
      <c r="AC28" s="379"/>
      <c r="AD28" s="379"/>
      <c r="AE28" s="379"/>
      <c r="AF28" s="379"/>
      <c r="AG28" s="379"/>
      <c r="AH28" s="379"/>
      <c r="AI28" s="379"/>
      <c r="AJ28" s="379"/>
      <c r="AK28" s="379"/>
      <c r="AL28" s="379"/>
      <c r="AM28" s="379"/>
      <c r="AN28" s="379"/>
      <c r="AO28" s="379"/>
      <c r="AP28" s="379"/>
      <c r="AQ28" s="379"/>
      <c r="AR28" s="379"/>
      <c r="AS28" s="379"/>
      <c r="AT28" s="379"/>
      <c r="AV28" s="379"/>
      <c r="AW28" s="379"/>
      <c r="AX28" s="379"/>
      <c r="AY28" s="379"/>
      <c r="AZ28" s="379"/>
      <c r="BA28" s="379"/>
      <c r="BB28" s="379"/>
      <c r="BC28" s="379"/>
      <c r="BD28" s="379"/>
      <c r="BE28" s="379"/>
      <c r="BF28" s="379"/>
      <c r="BG28" s="379"/>
      <c r="BH28" s="379"/>
      <c r="BI28" s="379"/>
      <c r="BJ28" s="379"/>
      <c r="BK28" s="379"/>
      <c r="BL28" s="379"/>
      <c r="BM28" s="379"/>
    </row>
    <row r="29" spans="2:65" ht="15" customHeight="1" x14ac:dyDescent="0.25">
      <c r="O29" s="383"/>
      <c r="P29" s="383"/>
      <c r="Q29" s="383"/>
      <c r="R29" s="383"/>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79"/>
      <c r="AQ29" s="379"/>
      <c r="AR29" s="379"/>
      <c r="AS29" s="379"/>
      <c r="AT29" s="379"/>
      <c r="AV29" s="379"/>
      <c r="AW29" s="379"/>
      <c r="AX29" s="379"/>
      <c r="AY29" s="379"/>
      <c r="AZ29" s="379"/>
      <c r="BA29" s="379"/>
      <c r="BB29" s="379"/>
      <c r="BC29" s="379"/>
      <c r="BD29" s="379"/>
      <c r="BE29" s="379"/>
      <c r="BF29" s="379"/>
      <c r="BG29" s="379"/>
      <c r="BH29" s="379"/>
      <c r="BI29" s="379"/>
      <c r="BJ29" s="379"/>
      <c r="BK29" s="379"/>
      <c r="BL29" s="379"/>
      <c r="BM29" s="379"/>
    </row>
    <row r="30" spans="2:65" ht="15" customHeight="1" x14ac:dyDescent="0.25">
      <c r="O30" s="383"/>
      <c r="P30" s="383"/>
      <c r="Q30" s="383"/>
      <c r="R30" s="383"/>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79"/>
      <c r="AT30" s="379"/>
      <c r="AV30" s="379"/>
      <c r="AW30" s="379"/>
      <c r="AX30" s="379"/>
      <c r="AY30" s="379"/>
      <c r="AZ30" s="379"/>
      <c r="BA30" s="379"/>
      <c r="BB30" s="379"/>
      <c r="BC30" s="379"/>
      <c r="BD30" s="379"/>
      <c r="BE30" s="379"/>
      <c r="BF30" s="379"/>
      <c r="BG30" s="379"/>
      <c r="BH30" s="379"/>
      <c r="BI30" s="379"/>
      <c r="BJ30" s="379"/>
      <c r="BK30" s="379"/>
      <c r="BL30" s="379"/>
      <c r="BM30" s="379"/>
    </row>
    <row r="31" spans="2:65" ht="15" customHeight="1" x14ac:dyDescent="0.25">
      <c r="O31" s="383"/>
      <c r="P31" s="383"/>
      <c r="Q31" s="383"/>
      <c r="R31" s="383"/>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79"/>
      <c r="AP31" s="379"/>
      <c r="AQ31" s="379"/>
      <c r="AR31" s="379"/>
      <c r="AS31" s="379"/>
      <c r="AT31" s="379"/>
      <c r="AV31" s="379"/>
      <c r="AW31" s="379"/>
      <c r="AX31" s="379"/>
      <c r="AY31" s="379"/>
      <c r="AZ31" s="379"/>
      <c r="BA31" s="379"/>
      <c r="BB31" s="379"/>
      <c r="BC31" s="379"/>
      <c r="BD31" s="379"/>
      <c r="BE31" s="379"/>
      <c r="BF31" s="379"/>
      <c r="BG31" s="379"/>
      <c r="BH31" s="379"/>
      <c r="BI31" s="379"/>
      <c r="BJ31" s="379"/>
      <c r="BK31" s="379"/>
      <c r="BL31" s="379"/>
      <c r="BM31" s="379"/>
    </row>
    <row r="32" spans="2:65" ht="15" customHeight="1" x14ac:dyDescent="0.25"/>
    <row r="33" ht="15" customHeight="1" x14ac:dyDescent="0.25"/>
    <row r="34" ht="15" customHeight="1" x14ac:dyDescent="0.25"/>
  </sheetData>
  <sheetProtection sheet="1" selectLockedCells="1"/>
  <mergeCells count="63">
    <mergeCell ref="A1:BM1"/>
    <mergeCell ref="B3:D3"/>
    <mergeCell ref="E3:M3"/>
    <mergeCell ref="AV3:BM3"/>
    <mergeCell ref="B4:D4"/>
    <mergeCell ref="E4:M4"/>
    <mergeCell ref="AV4:BM8"/>
    <mergeCell ref="B5:D5"/>
    <mergeCell ref="E5:M5"/>
    <mergeCell ref="B6:D6"/>
    <mergeCell ref="E6:M6"/>
    <mergeCell ref="B8:C8"/>
    <mergeCell ref="D8:G8"/>
    <mergeCell ref="H8:I8"/>
    <mergeCell ref="J8:M8"/>
    <mergeCell ref="S3:AT4"/>
    <mergeCell ref="B9:C9"/>
    <mergeCell ref="D9:G9"/>
    <mergeCell ref="H9:I9"/>
    <mergeCell ref="J9:M9"/>
    <mergeCell ref="AV9:BM9"/>
    <mergeCell ref="O14:R14"/>
    <mergeCell ref="S14:AT14"/>
    <mergeCell ref="S10:AT10"/>
    <mergeCell ref="B11:M11"/>
    <mergeCell ref="S11:AT11"/>
    <mergeCell ref="B12:D12"/>
    <mergeCell ref="E12:M12"/>
    <mergeCell ref="O12:R12"/>
    <mergeCell ref="S12:AT12"/>
    <mergeCell ref="O13:R13"/>
    <mergeCell ref="O3:R4"/>
    <mergeCell ref="S16:AT31"/>
    <mergeCell ref="B15:D15"/>
    <mergeCell ref="E15:M15"/>
    <mergeCell ref="B18:G18"/>
    <mergeCell ref="H18:M18"/>
    <mergeCell ref="B19:G19"/>
    <mergeCell ref="H19:M19"/>
    <mergeCell ref="B20:G20"/>
    <mergeCell ref="H20:M20"/>
    <mergeCell ref="B21:G21"/>
    <mergeCell ref="H21:M21"/>
    <mergeCell ref="B13:D13"/>
    <mergeCell ref="S13:AT13"/>
    <mergeCell ref="B14:D14"/>
    <mergeCell ref="E14:M14"/>
    <mergeCell ref="AV10:BM31"/>
    <mergeCell ref="B23:M23"/>
    <mergeCell ref="B17:M17"/>
    <mergeCell ref="S5:AT8"/>
    <mergeCell ref="O5:R8"/>
    <mergeCell ref="O16:R31"/>
    <mergeCell ref="O10:R11"/>
    <mergeCell ref="B25:G25"/>
    <mergeCell ref="H25:M25"/>
    <mergeCell ref="B26:G26"/>
    <mergeCell ref="H26:M26"/>
    <mergeCell ref="B27:G27"/>
    <mergeCell ref="H27:M27"/>
    <mergeCell ref="B24:G24"/>
    <mergeCell ref="H24:M24"/>
    <mergeCell ref="E13:M13"/>
  </mergeCells>
  <phoneticPr fontId="86" type="noConversion"/>
  <pageMargins left="0.75" right="0.75" top="1" bottom="1" header="0.51180555555555596" footer="0.51180555555555596"/>
  <legacyDrawing r:id="rId1"/>
  <extLst>
    <ext xmlns:x14="http://schemas.microsoft.com/office/spreadsheetml/2009/9/main" uri="{CCE6A557-97BC-4b89-ADB6-D9C93CAAB3DF}">
      <x14:dataValidations xmlns:xm="http://schemas.microsoft.com/office/excel/2006/main" count="13">
        <x14:dataValidation type="list" allowBlank="1" showInputMessage="1" xr:uid="{CC167136-100F-4BCB-A2A9-1AE2C5017979}">
          <x14:formula1>
            <xm:f>数据表!$BQ$2:$BQ$40</xm:f>
          </x14:formula1>
          <xm:sqref>B24:M27</xm:sqref>
        </x14:dataValidation>
        <x14:dataValidation type="list" allowBlank="1" showInputMessage="1" xr:uid="{7A918830-266C-4516-BC5A-5AD5AB214DFD}">
          <x14:formula1>
            <xm:f>背景数据!$M$2</xm:f>
          </x14:formula1>
          <xm:sqref>S3:AT4</xm:sqref>
        </x14:dataValidation>
        <x14:dataValidation type="list" allowBlank="1" showInputMessage="1" xr:uid="{E464737F-4EE8-4710-B24F-F26B5F5769E6}">
          <x14:formula1>
            <xm:f>数据表!$L$2:$L$22</xm:f>
          </x14:formula1>
          <xm:sqref>B18:M21</xm:sqref>
        </x14:dataValidation>
        <x14:dataValidation type="list" allowBlank="1" showInputMessage="1" xr:uid="{FB805B76-C0A5-4EAB-AA59-5A3888B729CD}">
          <x14:formula1>
            <xm:f>背景数据!$N$2</xm:f>
          </x14:formula1>
          <xm:sqref>S5:AT8</xm:sqref>
        </x14:dataValidation>
        <x14:dataValidation type="list" allowBlank="1" showInputMessage="1" xr:uid="{6346CCE1-AC69-4127-AFE5-680D088A5D68}">
          <x14:formula1>
            <xm:f>主要!$E$3</xm:f>
          </x14:formula1>
          <xm:sqref>E3:M3</xm:sqref>
        </x14:dataValidation>
        <x14:dataValidation type="list" allowBlank="1" showInputMessage="1" xr:uid="{9B31A198-A3A9-4C6E-8FB5-854CDB799BCB}">
          <x14:formula1>
            <xm:f>主要!$E$4</xm:f>
          </x14:formula1>
          <xm:sqref>E4:M4</xm:sqref>
        </x14:dataValidation>
        <x14:dataValidation type="list" allowBlank="1" showInputMessage="1" xr:uid="{F489F0FC-40E5-495E-9B24-E6636C93B9DE}">
          <x14:formula1>
            <xm:f>背景数据!$A$3:$A$18</xm:f>
          </x14:formula1>
          <xm:sqref>E6:M6</xm:sqref>
        </x14:dataValidation>
        <x14:dataValidation type="list" allowBlank="1" showInputMessage="1" xr:uid="{808602CC-5D83-421C-A6D7-48C041E2AA8E}">
          <x14:formula1>
            <xm:f>背景数据!$J$2</xm:f>
          </x14:formula1>
          <xm:sqref>E13:M13</xm:sqref>
        </x14:dataValidation>
        <x14:dataValidation type="list" allowBlank="1" showInputMessage="1" xr:uid="{5F1BFD51-CD32-4310-BC9F-609BCA3F402D}">
          <x14:formula1>
            <xm:f>背景数据!$K$2</xm:f>
          </x14:formula1>
          <xm:sqref>E14:M14</xm:sqref>
        </x14:dataValidation>
        <x14:dataValidation type="list" allowBlank="1" showInputMessage="1" xr:uid="{6BDF2A1D-9204-494E-ADFD-6EA7414D6A71}">
          <x14:formula1>
            <xm:f>背景数据!$L$2</xm:f>
          </x14:formula1>
          <xm:sqref>E15:M15</xm:sqref>
        </x14:dataValidation>
        <x14:dataValidation type="list" allowBlank="1" showInputMessage="1" xr:uid="{AD7D8948-2276-4572-ADF5-A5A4C8E78122}">
          <x14:formula1>
            <xm:f>背景数据!O2</xm:f>
          </x14:formula1>
          <xm:sqref>I12:M12</xm:sqref>
        </x14:dataValidation>
        <x14:dataValidation type="list" allowBlank="1" showInputMessage="1" xr:uid="{4905E90F-FEE8-4DAF-AD59-043C0F75863B}">
          <x14:formula1>
            <xm:f>背景数据!I2</xm:f>
          </x14:formula1>
          <xm:sqref>E12:G12</xm:sqref>
        </x14:dataValidation>
        <x14:dataValidation type="list" allowBlank="1" showInputMessage="1" xr:uid="{2C3D6760-5252-49FF-9623-DD95EB436332}">
          <x14:formula1>
            <xm:f>背景数据!M2</xm:f>
          </x14:formula1>
          <xm:sqref>H12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5" tint="-0.249977111117893"/>
  </sheetPr>
  <dimension ref="A1:CJ52"/>
  <sheetViews>
    <sheetView workbookViewId="0">
      <selection activeCell="E3" sqref="E3:R3"/>
    </sheetView>
  </sheetViews>
  <sheetFormatPr defaultColWidth="2.33203125" defaultRowHeight="14.4" x14ac:dyDescent="0.25"/>
  <cols>
    <col min="1" max="1" width="2.33203125" style="114" customWidth="1"/>
    <col min="2" max="16384" width="2.33203125" style="114"/>
  </cols>
  <sheetData>
    <row r="1" spans="1:88" ht="16.95" customHeight="1" x14ac:dyDescent="0.25">
      <c r="A1" s="730" t="s">
        <v>2241</v>
      </c>
      <c r="B1" s="730"/>
      <c r="C1" s="730"/>
      <c r="D1" s="730"/>
      <c r="E1" s="730"/>
      <c r="F1" s="730"/>
      <c r="G1" s="730"/>
      <c r="H1" s="730"/>
      <c r="I1" s="730"/>
      <c r="J1" s="730"/>
      <c r="K1" s="730"/>
      <c r="L1" s="730"/>
      <c r="M1" s="730"/>
      <c r="N1" s="730"/>
      <c r="O1" s="730"/>
      <c r="P1" s="730"/>
      <c r="Q1" s="730"/>
      <c r="R1" s="730"/>
      <c r="S1" s="730"/>
      <c r="T1" s="730"/>
      <c r="U1" s="730"/>
      <c r="V1" s="730"/>
      <c r="W1" s="730"/>
      <c r="X1" s="730"/>
      <c r="Y1" s="730"/>
      <c r="Z1" s="730"/>
      <c r="AA1" s="730"/>
      <c r="AB1" s="730"/>
      <c r="AC1" s="730"/>
      <c r="AD1" s="730"/>
      <c r="AE1" s="730"/>
      <c r="AF1" s="730"/>
      <c r="AG1" s="730"/>
      <c r="AH1" s="730"/>
      <c r="AI1" s="730"/>
      <c r="AJ1" s="730"/>
      <c r="AK1" s="730"/>
      <c r="AL1" s="730"/>
      <c r="AM1" s="730"/>
      <c r="AN1" s="730"/>
      <c r="AO1" s="730"/>
      <c r="AP1" s="730"/>
      <c r="AQ1" s="730"/>
      <c r="AR1" s="730"/>
      <c r="AT1" s="731" t="s">
        <v>2242</v>
      </c>
      <c r="AU1" s="731"/>
      <c r="AV1" s="731"/>
      <c r="AW1" s="731"/>
      <c r="AX1" s="731"/>
      <c r="AY1" s="731"/>
      <c r="AZ1" s="731"/>
      <c r="BA1" s="731"/>
      <c r="BB1" s="731"/>
      <c r="BC1" s="731"/>
      <c r="BD1" s="731"/>
      <c r="BE1" s="731"/>
      <c r="BF1" s="731"/>
      <c r="BG1" s="731"/>
      <c r="BH1" s="731"/>
      <c r="BI1" s="731"/>
      <c r="BJ1" s="731"/>
      <c r="BK1" s="731"/>
      <c r="BL1" s="731"/>
      <c r="BM1" s="731"/>
      <c r="BN1" s="731"/>
      <c r="BO1" s="731"/>
      <c r="BP1" s="731"/>
      <c r="BQ1" s="731"/>
      <c r="BR1" s="731"/>
      <c r="BS1" s="731"/>
      <c r="BT1" s="731"/>
      <c r="BU1" s="731"/>
      <c r="BV1" s="731"/>
      <c r="BW1" s="731"/>
      <c r="BX1" s="731"/>
      <c r="BY1" s="731"/>
      <c r="BZ1" s="731"/>
      <c r="CA1" s="731"/>
      <c r="CB1" s="731"/>
      <c r="CC1" s="731"/>
      <c r="CD1" s="731"/>
      <c r="CE1" s="731"/>
      <c r="CF1" s="731"/>
      <c r="CG1" s="731"/>
      <c r="CH1" s="731"/>
      <c r="CI1" s="731"/>
      <c r="CJ1" s="731"/>
    </row>
    <row r="2" spans="1:88" ht="16.95" customHeight="1" x14ac:dyDescent="0.35">
      <c r="AE2" s="116" t="s">
        <v>40</v>
      </c>
      <c r="AF2" s="117"/>
      <c r="AG2" s="117"/>
      <c r="AH2" s="462" t="s">
        <v>71</v>
      </c>
      <c r="AI2" s="462"/>
      <c r="AJ2" s="117"/>
      <c r="AK2" s="462" t="s">
        <v>74</v>
      </c>
      <c r="AL2" s="462"/>
      <c r="AM2" s="462" t="s">
        <v>75</v>
      </c>
      <c r="AN2" s="462"/>
      <c r="AO2" s="122"/>
      <c r="AP2" s="462" t="s">
        <v>41</v>
      </c>
      <c r="AQ2" s="462"/>
      <c r="AU2" s="123"/>
      <c r="AV2" s="123"/>
      <c r="AW2" s="123"/>
      <c r="AX2" s="123"/>
      <c r="AY2" s="123"/>
      <c r="AZ2" s="123"/>
      <c r="BA2" s="123"/>
      <c r="BB2" s="14"/>
      <c r="BC2" s="14"/>
      <c r="BD2" s="14"/>
      <c r="BE2" s="14"/>
      <c r="BF2" s="14"/>
      <c r="BG2" s="14"/>
      <c r="BH2" s="14"/>
      <c r="BI2" s="14"/>
      <c r="BJ2" s="14"/>
      <c r="BK2" s="14"/>
      <c r="BL2" s="14"/>
      <c r="BM2" s="14"/>
      <c r="BN2" s="123"/>
    </row>
    <row r="3" spans="1:88" ht="16.95" customHeight="1" x14ac:dyDescent="0.25">
      <c r="B3" s="699" t="s">
        <v>2243</v>
      </c>
      <c r="C3" s="709"/>
      <c r="D3" s="700"/>
      <c r="E3" s="706"/>
      <c r="F3" s="707"/>
      <c r="G3" s="707"/>
      <c r="H3" s="707"/>
      <c r="I3" s="707"/>
      <c r="J3" s="707"/>
      <c r="K3" s="707"/>
      <c r="L3" s="707"/>
      <c r="M3" s="707"/>
      <c r="N3" s="707"/>
      <c r="O3" s="707"/>
      <c r="P3" s="707"/>
      <c r="Q3" s="707"/>
      <c r="R3" s="708"/>
      <c r="U3" s="699" t="s">
        <v>93</v>
      </c>
      <c r="V3" s="700"/>
      <c r="W3" s="720"/>
      <c r="X3" s="720"/>
      <c r="Y3" s="720"/>
      <c r="Z3" s="380" t="s">
        <v>40</v>
      </c>
      <c r="AA3" s="380"/>
      <c r="AB3" s="732">
        <v>2</v>
      </c>
      <c r="AC3" s="732"/>
      <c r="AE3" s="118" t="s">
        <v>76</v>
      </c>
      <c r="AF3" s="701" t="s">
        <v>77</v>
      </c>
      <c r="AG3" s="702"/>
      <c r="AH3" s="703">
        <v>10</v>
      </c>
      <c r="AI3" s="703"/>
      <c r="AJ3" s="121" t="s">
        <v>78</v>
      </c>
      <c r="AK3" s="704">
        <f t="shared" ref="AK3:AK8" si="0">INT(AH3/2-5)</f>
        <v>0</v>
      </c>
      <c r="AL3" s="704"/>
      <c r="AM3" s="705">
        <f>INT(AH3/2-5)+IF(AE3="O",AB3,0)+AP3</f>
        <v>0</v>
      </c>
      <c r="AN3" s="705"/>
      <c r="AO3" s="124" t="s">
        <v>42</v>
      </c>
      <c r="AP3" s="381"/>
      <c r="AQ3" s="381"/>
      <c r="AU3" s="699" t="s">
        <v>2244</v>
      </c>
      <c r="AV3" s="709"/>
      <c r="AW3" s="700"/>
      <c r="AX3" s="706"/>
      <c r="AY3" s="707"/>
      <c r="AZ3" s="707"/>
      <c r="BA3" s="707"/>
      <c r="BB3" s="708"/>
      <c r="BD3" s="713" t="s">
        <v>57</v>
      </c>
      <c r="BE3" s="713"/>
      <c r="BF3" s="713"/>
      <c r="BG3" s="720"/>
      <c r="BH3" s="720"/>
      <c r="BI3" s="720"/>
      <c r="BJ3" s="720"/>
      <c r="BK3" s="720"/>
      <c r="BM3" s="508" t="s">
        <v>90</v>
      </c>
      <c r="BN3" s="509"/>
      <c r="BO3" s="387"/>
      <c r="BP3" s="388"/>
      <c r="BQ3" s="388"/>
      <c r="BR3" s="119" t="s">
        <v>91</v>
      </c>
      <c r="BS3" s="388"/>
      <c r="BT3" s="388"/>
      <c r="BU3" s="389"/>
      <c r="BW3" s="699" t="s">
        <v>93</v>
      </c>
      <c r="BX3" s="700"/>
      <c r="BY3" s="720"/>
      <c r="BZ3" s="720"/>
      <c r="CA3" s="720"/>
      <c r="CB3" s="380" t="s">
        <v>213</v>
      </c>
      <c r="CC3" s="380"/>
      <c r="CD3" s="703"/>
      <c r="CE3" s="721"/>
      <c r="CF3" s="380" t="s">
        <v>40</v>
      </c>
      <c r="CG3" s="380"/>
      <c r="CH3" s="698">
        <f>IFERROR(VLOOKUP(CD3,数据表!CI2:CJ35,2,FALSE),0)</f>
        <v>2</v>
      </c>
      <c r="CI3" s="698"/>
      <c r="CJ3" s="698"/>
    </row>
    <row r="4" spans="1:88" ht="16.95" customHeight="1" x14ac:dyDescent="0.25">
      <c r="B4" s="699" t="s">
        <v>2245</v>
      </c>
      <c r="C4" s="709"/>
      <c r="D4" s="700"/>
      <c r="E4" s="710"/>
      <c r="F4" s="711"/>
      <c r="G4" s="711"/>
      <c r="H4" s="711"/>
      <c r="I4" s="711"/>
      <c r="J4" s="711"/>
      <c r="K4" s="711"/>
      <c r="L4" s="711"/>
      <c r="M4" s="711"/>
      <c r="N4" s="711"/>
      <c r="O4" s="711"/>
      <c r="P4" s="711"/>
      <c r="Q4" s="711"/>
      <c r="R4" s="712"/>
      <c r="U4" s="699" t="s">
        <v>101</v>
      </c>
      <c r="V4" s="700"/>
      <c r="W4" s="725"/>
      <c r="X4" s="726"/>
      <c r="Y4" s="726"/>
      <c r="Z4" s="726"/>
      <c r="AA4" s="726"/>
      <c r="AB4" s="726"/>
      <c r="AC4" s="727"/>
      <c r="AE4" s="118" t="s">
        <v>76</v>
      </c>
      <c r="AF4" s="701" t="s">
        <v>79</v>
      </c>
      <c r="AG4" s="702"/>
      <c r="AH4" s="703">
        <v>10</v>
      </c>
      <c r="AI4" s="703"/>
      <c r="AJ4" s="121" t="s">
        <v>78</v>
      </c>
      <c r="AK4" s="704">
        <f t="shared" si="0"/>
        <v>0</v>
      </c>
      <c r="AL4" s="704"/>
      <c r="AM4" s="705">
        <f>INT(AH4/2-5)+IF(AE4="O",AB3,0)+AP4</f>
        <v>0</v>
      </c>
      <c r="AN4" s="705"/>
      <c r="AO4" s="124" t="s">
        <v>42</v>
      </c>
      <c r="AP4" s="381"/>
      <c r="AQ4" s="381"/>
      <c r="AU4" s="699" t="s">
        <v>10</v>
      </c>
      <c r="AV4" s="709"/>
      <c r="AW4" s="700"/>
      <c r="AX4" s="710"/>
      <c r="AY4" s="711"/>
      <c r="AZ4" s="711"/>
      <c r="BA4" s="711"/>
      <c r="BB4" s="712"/>
      <c r="BD4" s="713" t="s">
        <v>99</v>
      </c>
      <c r="BE4" s="713"/>
      <c r="BF4" s="713"/>
      <c r="BG4" s="714"/>
      <c r="BH4" s="714"/>
      <c r="BI4" s="714"/>
      <c r="BJ4" s="714"/>
      <c r="BK4" s="714"/>
      <c r="BL4" s="14"/>
      <c r="BM4" s="508" t="s">
        <v>94</v>
      </c>
      <c r="BN4" s="509"/>
      <c r="BO4" s="721"/>
      <c r="BP4" s="722"/>
      <c r="BQ4" s="119" t="s">
        <v>91</v>
      </c>
      <c r="BR4" s="722"/>
      <c r="BS4" s="722"/>
      <c r="BT4" s="728"/>
      <c r="BU4" s="729"/>
      <c r="BW4" s="699" t="s">
        <v>101</v>
      </c>
      <c r="BX4" s="700"/>
      <c r="BY4" s="725"/>
      <c r="BZ4" s="726"/>
      <c r="CA4" s="726"/>
      <c r="CB4" s="726"/>
      <c r="CC4" s="726"/>
      <c r="CD4" s="726"/>
      <c r="CE4" s="726"/>
      <c r="CF4" s="380"/>
      <c r="CG4" s="380"/>
      <c r="CH4" s="698"/>
      <c r="CI4" s="698"/>
      <c r="CJ4" s="698"/>
    </row>
    <row r="5" spans="1:88" ht="16.95" customHeight="1" x14ac:dyDescent="0.25">
      <c r="B5" s="699" t="s">
        <v>2246</v>
      </c>
      <c r="C5" s="709"/>
      <c r="D5" s="700"/>
      <c r="E5" s="706"/>
      <c r="F5" s="707"/>
      <c r="G5" s="707"/>
      <c r="H5" s="707"/>
      <c r="I5" s="707"/>
      <c r="J5" s="707"/>
      <c r="K5" s="707"/>
      <c r="L5" s="707"/>
      <c r="M5" s="707"/>
      <c r="N5" s="707"/>
      <c r="O5" s="707"/>
      <c r="P5" s="707"/>
      <c r="Q5" s="707"/>
      <c r="R5" s="708"/>
      <c r="AE5" s="118" t="s">
        <v>76</v>
      </c>
      <c r="AF5" s="701" t="s">
        <v>80</v>
      </c>
      <c r="AG5" s="702"/>
      <c r="AH5" s="703">
        <v>10</v>
      </c>
      <c r="AI5" s="703"/>
      <c r="AJ5" s="121" t="s">
        <v>78</v>
      </c>
      <c r="AK5" s="704">
        <f t="shared" si="0"/>
        <v>0</v>
      </c>
      <c r="AL5" s="704"/>
      <c r="AM5" s="705">
        <f>INT(AH5/2-5)+IF(AE5="O",AB3,0)+AP5</f>
        <v>0</v>
      </c>
      <c r="AN5" s="705"/>
      <c r="AO5" s="124" t="s">
        <v>42</v>
      </c>
      <c r="AP5" s="381"/>
      <c r="AQ5" s="381"/>
      <c r="AU5" s="699" t="s">
        <v>64</v>
      </c>
      <c r="AV5" s="709"/>
      <c r="AW5" s="700"/>
      <c r="AX5" s="716"/>
      <c r="AY5" s="717"/>
      <c r="AZ5" s="717"/>
      <c r="BA5" s="717"/>
      <c r="BB5" s="718"/>
      <c r="BD5" s="713" t="s">
        <v>2247</v>
      </c>
      <c r="BE5" s="713"/>
      <c r="BF5" s="713"/>
      <c r="BG5" s="719"/>
      <c r="BH5" s="719"/>
      <c r="BI5" s="719"/>
      <c r="BJ5" s="719"/>
      <c r="BK5" s="719"/>
      <c r="BM5" s="380" t="s">
        <v>2248</v>
      </c>
      <c r="BN5" s="380"/>
      <c r="BO5" s="380"/>
      <c r="BP5" s="380"/>
      <c r="BQ5" s="715"/>
      <c r="BR5" s="715"/>
      <c r="BS5" s="715"/>
      <c r="BT5" s="715"/>
      <c r="BU5" s="715"/>
      <c r="BY5" s="14"/>
      <c r="BZ5" s="14"/>
    </row>
    <row r="6" spans="1:88" ht="16.95" customHeight="1" x14ac:dyDescent="0.35">
      <c r="U6" s="508" t="s">
        <v>90</v>
      </c>
      <c r="V6" s="509"/>
      <c r="W6" s="387"/>
      <c r="X6" s="388"/>
      <c r="Y6" s="388"/>
      <c r="Z6" s="119" t="s">
        <v>91</v>
      </c>
      <c r="AA6" s="388"/>
      <c r="AB6" s="388"/>
      <c r="AC6" s="389"/>
      <c r="AE6" s="118" t="s">
        <v>76</v>
      </c>
      <c r="AF6" s="701" t="s">
        <v>81</v>
      </c>
      <c r="AG6" s="702"/>
      <c r="AH6" s="703">
        <v>10</v>
      </c>
      <c r="AI6" s="703"/>
      <c r="AJ6" s="121" t="s">
        <v>78</v>
      </c>
      <c r="AK6" s="704">
        <f t="shared" si="0"/>
        <v>0</v>
      </c>
      <c r="AL6" s="704"/>
      <c r="AM6" s="705">
        <f>INT(AH6/2-5)+IF(AE6="O",AB3,0)+AP6</f>
        <v>0</v>
      </c>
      <c r="AN6" s="705"/>
      <c r="AO6" s="124" t="s">
        <v>42</v>
      </c>
      <c r="AP6" s="381"/>
      <c r="AQ6" s="381"/>
      <c r="AU6" s="116" t="s">
        <v>40</v>
      </c>
      <c r="AV6" s="117"/>
      <c r="AW6" s="117"/>
      <c r="AX6" s="462" t="s">
        <v>71</v>
      </c>
      <c r="AY6" s="462"/>
      <c r="AZ6" s="117"/>
      <c r="BA6" s="462" t="s">
        <v>74</v>
      </c>
      <c r="BB6" s="462"/>
      <c r="BC6" s="462" t="s">
        <v>75</v>
      </c>
      <c r="BD6" s="462"/>
      <c r="BE6" s="117"/>
      <c r="BY6" s="14"/>
      <c r="BZ6" s="14"/>
      <c r="CA6" s="467" t="s">
        <v>95</v>
      </c>
      <c r="CB6" s="467"/>
      <c r="CC6" s="467"/>
      <c r="CD6" s="467"/>
      <c r="CE6" s="467"/>
      <c r="CF6" s="467"/>
      <c r="CG6" s="467"/>
      <c r="CH6" s="467"/>
      <c r="CI6" s="467"/>
    </row>
    <row r="7" spans="1:88" ht="16.95" customHeight="1" x14ac:dyDescent="0.25">
      <c r="B7" s="699" t="s">
        <v>729</v>
      </c>
      <c r="C7" s="709"/>
      <c r="D7" s="700"/>
      <c r="E7" s="706"/>
      <c r="F7" s="707"/>
      <c r="G7" s="707"/>
      <c r="H7" s="707"/>
      <c r="I7" s="708"/>
      <c r="J7" s="115"/>
      <c r="K7" s="713" t="s">
        <v>57</v>
      </c>
      <c r="L7" s="713"/>
      <c r="M7" s="713"/>
      <c r="N7" s="720"/>
      <c r="O7" s="720"/>
      <c r="P7" s="720"/>
      <c r="Q7" s="720"/>
      <c r="R7" s="720"/>
      <c r="U7" s="508" t="s">
        <v>94</v>
      </c>
      <c r="V7" s="509"/>
      <c r="W7" s="721"/>
      <c r="X7" s="722"/>
      <c r="Y7" s="119" t="s">
        <v>91</v>
      </c>
      <c r="Z7" s="722"/>
      <c r="AA7" s="722"/>
      <c r="AB7" s="723"/>
      <c r="AC7" s="724"/>
      <c r="AE7" s="118" t="s">
        <v>76</v>
      </c>
      <c r="AF7" s="701" t="s">
        <v>82</v>
      </c>
      <c r="AG7" s="702"/>
      <c r="AH7" s="703">
        <v>10</v>
      </c>
      <c r="AI7" s="703"/>
      <c r="AJ7" s="121" t="s">
        <v>78</v>
      </c>
      <c r="AK7" s="704">
        <f t="shared" si="0"/>
        <v>0</v>
      </c>
      <c r="AL7" s="704"/>
      <c r="AM7" s="705">
        <f>INT(AH7/2-5)+IF(AE7="O",AB3,0)+AP7</f>
        <v>0</v>
      </c>
      <c r="AN7" s="705"/>
      <c r="AO7" s="124" t="s">
        <v>42</v>
      </c>
      <c r="AP7" s="381"/>
      <c r="AQ7" s="381"/>
      <c r="AU7" s="118" t="s">
        <v>76</v>
      </c>
      <c r="AV7" s="701" t="s">
        <v>77</v>
      </c>
      <c r="AW7" s="702"/>
      <c r="AX7" s="703">
        <v>10</v>
      </c>
      <c r="AY7" s="703"/>
      <c r="AZ7" s="121" t="s">
        <v>78</v>
      </c>
      <c r="BA7" s="704">
        <f t="shared" ref="BA7:BA12" si="1">INT(AX7/2-5)</f>
        <v>0</v>
      </c>
      <c r="BB7" s="704"/>
      <c r="BC7" s="705">
        <f t="shared" ref="BC7:BC12" si="2">INT(AX7/2-5)+IF(AU7="O",$CH$3,0)</f>
        <v>0</v>
      </c>
      <c r="BD7" s="705"/>
      <c r="BE7" s="117"/>
      <c r="CA7" s="432"/>
      <c r="CB7" s="433"/>
      <c r="CC7" s="433"/>
      <c r="CD7" s="433"/>
      <c r="CE7" s="433"/>
      <c r="CF7" s="433"/>
      <c r="CG7" s="433"/>
      <c r="CH7" s="433"/>
      <c r="CI7" s="434"/>
    </row>
    <row r="8" spans="1:88" ht="16.95" customHeight="1" x14ac:dyDescent="0.25">
      <c r="B8" s="699" t="s">
        <v>10</v>
      </c>
      <c r="C8" s="709"/>
      <c r="D8" s="700"/>
      <c r="E8" s="710"/>
      <c r="F8" s="711"/>
      <c r="G8" s="711"/>
      <c r="H8" s="711"/>
      <c r="I8" s="712"/>
      <c r="K8" s="713" t="s">
        <v>99</v>
      </c>
      <c r="L8" s="713"/>
      <c r="M8" s="713"/>
      <c r="N8" s="714"/>
      <c r="O8" s="714"/>
      <c r="P8" s="714"/>
      <c r="Q8" s="714"/>
      <c r="R8" s="714"/>
      <c r="U8" s="380" t="s">
        <v>2248</v>
      </c>
      <c r="V8" s="380"/>
      <c r="W8" s="380"/>
      <c r="X8" s="380"/>
      <c r="Y8" s="715"/>
      <c r="Z8" s="715"/>
      <c r="AA8" s="715"/>
      <c r="AB8" s="715"/>
      <c r="AC8" s="715"/>
      <c r="AE8" s="118" t="s">
        <v>76</v>
      </c>
      <c r="AF8" s="701" t="s">
        <v>83</v>
      </c>
      <c r="AG8" s="702"/>
      <c r="AH8" s="703">
        <v>10</v>
      </c>
      <c r="AI8" s="703"/>
      <c r="AJ8" s="121" t="s">
        <v>78</v>
      </c>
      <c r="AK8" s="704">
        <f t="shared" si="0"/>
        <v>0</v>
      </c>
      <c r="AL8" s="704"/>
      <c r="AM8" s="705">
        <f>INT(AH8/2-5)+IF(AE8="O",AB3,0)+AP8</f>
        <v>0</v>
      </c>
      <c r="AN8" s="705"/>
      <c r="AO8" s="124" t="s">
        <v>42</v>
      </c>
      <c r="AP8" s="381"/>
      <c r="AQ8" s="381"/>
      <c r="AU8" s="118" t="s">
        <v>76</v>
      </c>
      <c r="AV8" s="701" t="s">
        <v>79</v>
      </c>
      <c r="AW8" s="702"/>
      <c r="AX8" s="703">
        <v>10</v>
      </c>
      <c r="AY8" s="703"/>
      <c r="AZ8" s="121" t="s">
        <v>78</v>
      </c>
      <c r="BA8" s="704">
        <f t="shared" si="1"/>
        <v>0</v>
      </c>
      <c r="BB8" s="704"/>
      <c r="BC8" s="705">
        <f t="shared" si="2"/>
        <v>0</v>
      </c>
      <c r="BD8" s="705"/>
      <c r="BE8" s="117"/>
      <c r="BF8" s="699" t="s">
        <v>108</v>
      </c>
      <c r="BG8" s="700"/>
      <c r="BH8" s="706"/>
      <c r="BI8" s="707"/>
      <c r="BJ8" s="707"/>
      <c r="BK8" s="707"/>
      <c r="BL8" s="707"/>
      <c r="BM8" s="707"/>
      <c r="BN8" s="707"/>
      <c r="BO8" s="707"/>
      <c r="BP8" s="707"/>
      <c r="BQ8" s="707"/>
      <c r="BR8" s="707"/>
      <c r="BS8" s="707"/>
      <c r="BT8" s="707"/>
      <c r="BU8" s="707"/>
      <c r="BV8" s="707"/>
      <c r="BW8" s="707"/>
      <c r="BX8" s="707"/>
      <c r="BY8" s="708"/>
      <c r="CA8" s="435"/>
      <c r="CB8" s="436"/>
      <c r="CC8" s="436"/>
      <c r="CD8" s="436"/>
      <c r="CE8" s="436"/>
      <c r="CF8" s="436"/>
      <c r="CG8" s="436"/>
      <c r="CH8" s="436"/>
      <c r="CI8" s="437"/>
    </row>
    <row r="9" spans="1:88" ht="16.95" customHeight="1" x14ac:dyDescent="0.25">
      <c r="B9" s="699" t="s">
        <v>64</v>
      </c>
      <c r="C9" s="709"/>
      <c r="D9" s="700"/>
      <c r="E9" s="716"/>
      <c r="F9" s="717"/>
      <c r="G9" s="717"/>
      <c r="H9" s="717"/>
      <c r="I9" s="718"/>
      <c r="K9" s="713" t="s">
        <v>2247</v>
      </c>
      <c r="L9" s="713"/>
      <c r="M9" s="713"/>
      <c r="N9" s="719"/>
      <c r="O9" s="719"/>
      <c r="P9" s="719"/>
      <c r="Q9" s="719"/>
      <c r="R9" s="719"/>
      <c r="AU9" s="118" t="s">
        <v>76</v>
      </c>
      <c r="AV9" s="701" t="s">
        <v>80</v>
      </c>
      <c r="AW9" s="702"/>
      <c r="AX9" s="703">
        <v>10</v>
      </c>
      <c r="AY9" s="703"/>
      <c r="AZ9" s="121" t="s">
        <v>78</v>
      </c>
      <c r="BA9" s="704">
        <f t="shared" si="1"/>
        <v>0</v>
      </c>
      <c r="BB9" s="704"/>
      <c r="BC9" s="705">
        <f t="shared" si="2"/>
        <v>0</v>
      </c>
      <c r="BD9" s="705"/>
      <c r="BE9" s="117"/>
      <c r="BF9" s="699" t="s">
        <v>97</v>
      </c>
      <c r="BG9" s="700"/>
      <c r="BH9" s="706"/>
      <c r="BI9" s="707"/>
      <c r="BJ9" s="707"/>
      <c r="BK9" s="707"/>
      <c r="BL9" s="707"/>
      <c r="BM9" s="707"/>
      <c r="BN9" s="707"/>
      <c r="BO9" s="707"/>
      <c r="BP9" s="707"/>
      <c r="BQ9" s="707"/>
      <c r="BR9" s="707"/>
      <c r="BS9" s="707"/>
      <c r="BT9" s="707"/>
      <c r="BU9" s="707"/>
      <c r="BV9" s="707"/>
      <c r="BW9" s="707"/>
      <c r="BX9" s="707"/>
      <c r="BY9" s="708"/>
      <c r="CA9" s="435"/>
      <c r="CB9" s="436"/>
      <c r="CC9" s="436"/>
      <c r="CD9" s="436"/>
      <c r="CE9" s="436"/>
      <c r="CF9" s="436"/>
      <c r="CG9" s="436"/>
      <c r="CH9" s="436"/>
      <c r="CI9" s="437"/>
    </row>
    <row r="10" spans="1:88" ht="16.95" customHeight="1" x14ac:dyDescent="0.25">
      <c r="U10" s="699" t="s">
        <v>108</v>
      </c>
      <c r="V10" s="700"/>
      <c r="W10" s="695"/>
      <c r="X10" s="695"/>
      <c r="Y10" s="695"/>
      <c r="Z10" s="695"/>
      <c r="AA10" s="695"/>
      <c r="AB10" s="695"/>
      <c r="AC10" s="695"/>
      <c r="AD10" s="695"/>
      <c r="AE10" s="695"/>
      <c r="AF10" s="695"/>
      <c r="AG10" s="695"/>
      <c r="AH10" s="695"/>
      <c r="AI10" s="695"/>
      <c r="AJ10" s="695"/>
      <c r="AK10" s="695"/>
      <c r="AL10" s="695"/>
      <c r="AM10" s="695"/>
      <c r="AN10" s="695"/>
      <c r="AO10" s="695"/>
      <c r="AP10" s="695"/>
      <c r="AQ10" s="695"/>
      <c r="AU10" s="118" t="s">
        <v>76</v>
      </c>
      <c r="AV10" s="701" t="s">
        <v>81</v>
      </c>
      <c r="AW10" s="702"/>
      <c r="AX10" s="703">
        <v>10</v>
      </c>
      <c r="AY10" s="703"/>
      <c r="AZ10" s="121" t="s">
        <v>78</v>
      </c>
      <c r="BA10" s="704">
        <f t="shared" si="1"/>
        <v>0</v>
      </c>
      <c r="BB10" s="704"/>
      <c r="BC10" s="705">
        <f t="shared" si="2"/>
        <v>0</v>
      </c>
      <c r="BD10" s="705"/>
      <c r="BE10" s="117"/>
      <c r="BF10" s="699" t="s">
        <v>102</v>
      </c>
      <c r="BG10" s="700"/>
      <c r="BH10" s="706"/>
      <c r="BI10" s="707"/>
      <c r="BJ10" s="707"/>
      <c r="BK10" s="707"/>
      <c r="BL10" s="707"/>
      <c r="BM10" s="707"/>
      <c r="BN10" s="707"/>
      <c r="BO10" s="707"/>
      <c r="BP10" s="707"/>
      <c r="BQ10" s="707"/>
      <c r="BR10" s="707"/>
      <c r="BS10" s="707"/>
      <c r="BT10" s="707"/>
      <c r="BU10" s="707"/>
      <c r="BV10" s="707"/>
      <c r="BW10" s="707"/>
      <c r="BX10" s="707"/>
      <c r="BY10" s="708"/>
      <c r="CA10" s="435"/>
      <c r="CB10" s="436"/>
      <c r="CC10" s="436"/>
      <c r="CD10" s="436"/>
      <c r="CE10" s="436"/>
      <c r="CF10" s="436"/>
      <c r="CG10" s="436"/>
      <c r="CH10" s="436"/>
      <c r="CI10" s="437"/>
    </row>
    <row r="11" spans="1:88" ht="16.95" customHeight="1" x14ac:dyDescent="0.25">
      <c r="B11" s="697" t="s">
        <v>2249</v>
      </c>
      <c r="C11" s="697"/>
      <c r="D11" s="697"/>
      <c r="E11" s="697"/>
      <c r="F11" s="697"/>
      <c r="G11" s="697"/>
      <c r="H11" s="697"/>
      <c r="I11" s="697"/>
      <c r="J11" s="697"/>
      <c r="K11" s="697"/>
      <c r="L11" s="697"/>
      <c r="M11" s="697"/>
      <c r="N11" s="697"/>
      <c r="O11" s="697"/>
      <c r="P11" s="697"/>
      <c r="Q11" s="697"/>
      <c r="R11" s="697"/>
      <c r="U11" s="699" t="s">
        <v>97</v>
      </c>
      <c r="V11" s="700"/>
      <c r="W11" s="695"/>
      <c r="X11" s="695"/>
      <c r="Y11" s="695"/>
      <c r="Z11" s="695"/>
      <c r="AA11" s="695"/>
      <c r="AB11" s="695"/>
      <c r="AC11" s="695"/>
      <c r="AD11" s="695"/>
      <c r="AE11" s="695"/>
      <c r="AF11" s="695"/>
      <c r="AG11" s="695"/>
      <c r="AH11" s="695"/>
      <c r="AI11" s="695"/>
      <c r="AJ11" s="695"/>
      <c r="AK11" s="695"/>
      <c r="AL11" s="695"/>
      <c r="AM11" s="695"/>
      <c r="AN11" s="695"/>
      <c r="AO11" s="695"/>
      <c r="AP11" s="695"/>
      <c r="AQ11" s="695"/>
      <c r="AU11" s="118" t="s">
        <v>76</v>
      </c>
      <c r="AV11" s="701" t="s">
        <v>82</v>
      </c>
      <c r="AW11" s="702"/>
      <c r="AX11" s="703">
        <v>10</v>
      </c>
      <c r="AY11" s="703"/>
      <c r="AZ11" s="121" t="s">
        <v>78</v>
      </c>
      <c r="BA11" s="704">
        <f t="shared" si="1"/>
        <v>0</v>
      </c>
      <c r="BB11" s="704"/>
      <c r="BC11" s="705">
        <f t="shared" si="2"/>
        <v>0</v>
      </c>
      <c r="BD11" s="705"/>
      <c r="BE11" s="117"/>
      <c r="BF11" s="699" t="s">
        <v>2250</v>
      </c>
      <c r="BG11" s="700"/>
      <c r="BH11" s="706"/>
      <c r="BI11" s="707"/>
      <c r="BJ11" s="707"/>
      <c r="BK11" s="707"/>
      <c r="BL11" s="707"/>
      <c r="BM11" s="707"/>
      <c r="BN11" s="707"/>
      <c r="BO11" s="707"/>
      <c r="BP11" s="707"/>
      <c r="BQ11" s="707"/>
      <c r="BR11" s="707"/>
      <c r="BS11" s="707"/>
      <c r="BT11" s="707"/>
      <c r="BU11" s="707"/>
      <c r="BV11" s="707"/>
      <c r="BW11" s="707"/>
      <c r="BX11" s="707"/>
      <c r="BY11" s="708"/>
      <c r="CA11" s="435"/>
      <c r="CB11" s="436"/>
      <c r="CC11" s="436"/>
      <c r="CD11" s="436"/>
      <c r="CE11" s="436"/>
      <c r="CF11" s="436"/>
      <c r="CG11" s="436"/>
      <c r="CH11" s="436"/>
      <c r="CI11" s="437"/>
    </row>
    <row r="12" spans="1:88" ht="16.95" customHeight="1" x14ac:dyDescent="0.25">
      <c r="B12" s="690"/>
      <c r="C12" s="690"/>
      <c r="D12" s="690"/>
      <c r="E12" s="690"/>
      <c r="F12" s="690"/>
      <c r="G12" s="690"/>
      <c r="H12" s="690"/>
      <c r="I12" s="690"/>
      <c r="J12" s="690"/>
      <c r="K12" s="690"/>
      <c r="L12" s="690"/>
      <c r="M12" s="690"/>
      <c r="N12" s="690"/>
      <c r="O12" s="690"/>
      <c r="P12" s="690"/>
      <c r="Q12" s="690"/>
      <c r="R12" s="690"/>
      <c r="U12" s="699" t="s">
        <v>102</v>
      </c>
      <c r="V12" s="700"/>
      <c r="W12" s="695"/>
      <c r="X12" s="695"/>
      <c r="Y12" s="695"/>
      <c r="Z12" s="695"/>
      <c r="AA12" s="695"/>
      <c r="AB12" s="695"/>
      <c r="AC12" s="695"/>
      <c r="AD12" s="695"/>
      <c r="AE12" s="695"/>
      <c r="AF12" s="695"/>
      <c r="AG12" s="695"/>
      <c r="AH12" s="695"/>
      <c r="AI12" s="695"/>
      <c r="AJ12" s="695"/>
      <c r="AK12" s="695"/>
      <c r="AL12" s="695"/>
      <c r="AM12" s="695"/>
      <c r="AN12" s="695"/>
      <c r="AO12" s="695"/>
      <c r="AP12" s="695"/>
      <c r="AQ12" s="695"/>
      <c r="AU12" s="118" t="s">
        <v>76</v>
      </c>
      <c r="AV12" s="701" t="s">
        <v>83</v>
      </c>
      <c r="AW12" s="702"/>
      <c r="AX12" s="703">
        <v>10</v>
      </c>
      <c r="AY12" s="703"/>
      <c r="AZ12" s="121" t="s">
        <v>78</v>
      </c>
      <c r="BA12" s="704">
        <f t="shared" si="1"/>
        <v>0</v>
      </c>
      <c r="BB12" s="704"/>
      <c r="BC12" s="705">
        <f t="shared" si="2"/>
        <v>0</v>
      </c>
      <c r="BD12" s="705"/>
      <c r="BE12" s="117"/>
      <c r="BF12" s="693" t="s">
        <v>206</v>
      </c>
      <c r="BG12" s="694"/>
      <c r="BH12" s="706"/>
      <c r="BI12" s="707"/>
      <c r="BJ12" s="707"/>
      <c r="BK12" s="707"/>
      <c r="BL12" s="707"/>
      <c r="BM12" s="707"/>
      <c r="BN12" s="707"/>
      <c r="BO12" s="707"/>
      <c r="BP12" s="707"/>
      <c r="BQ12" s="707"/>
      <c r="BR12" s="707"/>
      <c r="BS12" s="707"/>
      <c r="BT12" s="707"/>
      <c r="BU12" s="707"/>
      <c r="BV12" s="707"/>
      <c r="BW12" s="707"/>
      <c r="BX12" s="707"/>
      <c r="BY12" s="708"/>
      <c r="CA12" s="438"/>
      <c r="CB12" s="439"/>
      <c r="CC12" s="439"/>
      <c r="CD12" s="439"/>
      <c r="CE12" s="439"/>
      <c r="CF12" s="439"/>
      <c r="CG12" s="439"/>
      <c r="CH12" s="439"/>
      <c r="CI12" s="440"/>
    </row>
    <row r="13" spans="1:88" ht="16.95" customHeight="1" x14ac:dyDescent="0.35">
      <c r="B13" s="690"/>
      <c r="C13" s="690"/>
      <c r="D13" s="690"/>
      <c r="E13" s="690"/>
      <c r="F13" s="690"/>
      <c r="G13" s="690"/>
      <c r="H13" s="690"/>
      <c r="I13" s="690"/>
      <c r="J13" s="690"/>
      <c r="K13" s="690"/>
      <c r="L13" s="690"/>
      <c r="M13" s="690"/>
      <c r="N13" s="690"/>
      <c r="O13" s="690"/>
      <c r="P13" s="690"/>
      <c r="Q13" s="690"/>
      <c r="R13" s="690"/>
      <c r="U13" s="699" t="s">
        <v>2250</v>
      </c>
      <c r="V13" s="700"/>
      <c r="W13" s="695"/>
      <c r="X13" s="695"/>
      <c r="Y13" s="695"/>
      <c r="Z13" s="695"/>
      <c r="AA13" s="695"/>
      <c r="AB13" s="695"/>
      <c r="AC13" s="695"/>
      <c r="AD13" s="695"/>
      <c r="AE13" s="695"/>
      <c r="AF13" s="695"/>
      <c r="AG13" s="695"/>
      <c r="AH13" s="695"/>
      <c r="AI13" s="695"/>
      <c r="AJ13" s="695"/>
      <c r="AK13" s="695"/>
      <c r="AL13" s="695"/>
      <c r="AM13" s="695"/>
      <c r="AN13" s="695"/>
      <c r="AO13" s="695"/>
      <c r="AP13" s="695"/>
      <c r="AQ13" s="695"/>
      <c r="AU13" s="476" t="s">
        <v>118</v>
      </c>
      <c r="AV13" s="476"/>
      <c r="AW13" s="476"/>
      <c r="AX13" s="476"/>
      <c r="AY13" s="476"/>
      <c r="AZ13" s="476"/>
      <c r="BA13" s="476"/>
      <c r="BB13" s="476"/>
      <c r="BC13" s="476"/>
      <c r="BD13" s="476"/>
      <c r="BE13" s="476"/>
      <c r="BF13" s="476"/>
      <c r="BG13" s="476"/>
      <c r="BH13" s="476"/>
      <c r="BI13" s="476"/>
      <c r="BJ13" s="476"/>
      <c r="BK13" s="476"/>
      <c r="BL13" s="476"/>
      <c r="BM13" s="476"/>
      <c r="BN13" s="476"/>
      <c r="BP13" s="476" t="s">
        <v>2251</v>
      </c>
      <c r="BQ13" s="476"/>
      <c r="BR13" s="476"/>
      <c r="BS13" s="476"/>
      <c r="BT13" s="476"/>
      <c r="BU13" s="476"/>
      <c r="BV13" s="476"/>
      <c r="BW13" s="476"/>
      <c r="BX13" s="476"/>
      <c r="BY13" s="476"/>
      <c r="BZ13" s="476"/>
      <c r="CA13" s="476"/>
      <c r="CB13" s="476"/>
      <c r="CC13" s="476"/>
      <c r="CD13" s="476"/>
      <c r="CE13" s="476"/>
      <c r="CF13" s="476"/>
      <c r="CG13" s="476"/>
      <c r="CH13" s="476"/>
      <c r="CI13" s="476"/>
    </row>
    <row r="14" spans="1:88" ht="16.95" customHeight="1" x14ac:dyDescent="0.25">
      <c r="B14" s="690"/>
      <c r="C14" s="690"/>
      <c r="D14" s="690"/>
      <c r="E14" s="690"/>
      <c r="F14" s="690"/>
      <c r="G14" s="690"/>
      <c r="H14" s="690"/>
      <c r="I14" s="690"/>
      <c r="J14" s="690"/>
      <c r="K14" s="690"/>
      <c r="L14" s="690"/>
      <c r="M14" s="690"/>
      <c r="N14" s="690"/>
      <c r="O14" s="690"/>
      <c r="P14" s="690"/>
      <c r="Q14" s="690"/>
      <c r="R14" s="690"/>
      <c r="U14" s="693" t="s">
        <v>206</v>
      </c>
      <c r="V14" s="694"/>
      <c r="W14" s="695"/>
      <c r="X14" s="695"/>
      <c r="Y14" s="695"/>
      <c r="Z14" s="695"/>
      <c r="AA14" s="695"/>
      <c r="AB14" s="695"/>
      <c r="AC14" s="695"/>
      <c r="AD14" s="695"/>
      <c r="AE14" s="695"/>
      <c r="AF14" s="695"/>
      <c r="AG14" s="695"/>
      <c r="AH14" s="695"/>
      <c r="AI14" s="695"/>
      <c r="AJ14" s="695"/>
      <c r="AK14" s="695"/>
      <c r="AL14" s="695"/>
      <c r="AM14" s="695"/>
      <c r="AN14" s="695"/>
      <c r="AO14" s="695"/>
      <c r="AP14" s="695"/>
      <c r="AQ14" s="695"/>
      <c r="AU14" s="691"/>
      <c r="AV14" s="691"/>
      <c r="AW14" s="691"/>
      <c r="AX14" s="691"/>
      <c r="AY14" s="691"/>
      <c r="AZ14" s="691"/>
      <c r="BA14" s="691"/>
      <c r="BB14" s="691"/>
      <c r="BC14" s="691"/>
      <c r="BD14" s="691"/>
      <c r="BE14" s="691"/>
      <c r="BF14" s="691"/>
      <c r="BG14" s="691"/>
      <c r="BH14" s="691"/>
      <c r="BI14" s="691"/>
      <c r="BJ14" s="691"/>
      <c r="BK14" s="691"/>
      <c r="BL14" s="691"/>
      <c r="BM14" s="691"/>
      <c r="BN14" s="691"/>
      <c r="BP14" s="692"/>
      <c r="BQ14" s="692"/>
      <c r="BR14" s="692"/>
      <c r="BS14" s="692"/>
      <c r="BT14" s="692"/>
      <c r="BU14" s="692"/>
      <c r="BV14" s="692"/>
      <c r="BW14" s="692"/>
      <c r="BX14" s="692"/>
      <c r="BY14" s="692"/>
      <c r="BZ14" s="692"/>
      <c r="CA14" s="692"/>
      <c r="CB14" s="692"/>
      <c r="CC14" s="692"/>
      <c r="CD14" s="692"/>
      <c r="CE14" s="692"/>
      <c r="CF14" s="692"/>
      <c r="CG14" s="692"/>
      <c r="CH14" s="692"/>
      <c r="CI14" s="692"/>
    </row>
    <row r="15" spans="1:88" ht="16.95" customHeight="1" x14ac:dyDescent="0.35">
      <c r="B15" s="690"/>
      <c r="C15" s="690"/>
      <c r="D15" s="690"/>
      <c r="E15" s="690"/>
      <c r="F15" s="690"/>
      <c r="G15" s="690"/>
      <c r="H15" s="690"/>
      <c r="I15" s="690"/>
      <c r="J15" s="690"/>
      <c r="K15" s="690"/>
      <c r="L15" s="690"/>
      <c r="M15" s="690"/>
      <c r="N15" s="690"/>
      <c r="O15" s="690"/>
      <c r="P15" s="690"/>
      <c r="Q15" s="690"/>
      <c r="R15" s="690"/>
      <c r="U15" s="696" t="s">
        <v>2251</v>
      </c>
      <c r="V15" s="696"/>
      <c r="W15" s="696"/>
      <c r="X15" s="696"/>
      <c r="Y15" s="696"/>
      <c r="Z15" s="696"/>
      <c r="AA15" s="696"/>
      <c r="AB15" s="696"/>
      <c r="AC15" s="696"/>
      <c r="AD15" s="696"/>
      <c r="AE15" s="696"/>
      <c r="AF15" s="696"/>
      <c r="AG15" s="696"/>
      <c r="AH15" s="696"/>
      <c r="AI15" s="696"/>
      <c r="AJ15" s="696"/>
      <c r="AK15" s="696"/>
      <c r="AL15" s="696"/>
      <c r="AM15" s="696"/>
      <c r="AN15" s="696"/>
      <c r="AO15" s="696"/>
      <c r="AP15" s="696"/>
      <c r="AQ15" s="696"/>
      <c r="AU15" s="691"/>
      <c r="AV15" s="691"/>
      <c r="AW15" s="691"/>
      <c r="AX15" s="691"/>
      <c r="AY15" s="691"/>
      <c r="AZ15" s="691"/>
      <c r="BA15" s="691"/>
      <c r="BB15" s="691"/>
      <c r="BC15" s="691"/>
      <c r="BD15" s="691"/>
      <c r="BE15" s="691"/>
      <c r="BF15" s="691"/>
      <c r="BG15" s="691"/>
      <c r="BH15" s="691"/>
      <c r="BI15" s="691"/>
      <c r="BJ15" s="691"/>
      <c r="BK15" s="691"/>
      <c r="BL15" s="691"/>
      <c r="BM15" s="691"/>
      <c r="BN15" s="691"/>
      <c r="BP15" s="692"/>
      <c r="BQ15" s="692"/>
      <c r="BR15" s="692"/>
      <c r="BS15" s="692"/>
      <c r="BT15" s="692"/>
      <c r="BU15" s="692"/>
      <c r="BV15" s="692"/>
      <c r="BW15" s="692"/>
      <c r="BX15" s="692"/>
      <c r="BY15" s="692"/>
      <c r="BZ15" s="692"/>
      <c r="CA15" s="692"/>
      <c r="CB15" s="692"/>
      <c r="CC15" s="692"/>
      <c r="CD15" s="692"/>
      <c r="CE15" s="692"/>
      <c r="CF15" s="692"/>
      <c r="CG15" s="692"/>
      <c r="CH15" s="692"/>
      <c r="CI15" s="692"/>
    </row>
    <row r="16" spans="1:88" ht="16.95" customHeight="1" x14ac:dyDescent="0.25">
      <c r="B16" s="690"/>
      <c r="C16" s="690"/>
      <c r="D16" s="690"/>
      <c r="E16" s="690"/>
      <c r="F16" s="690"/>
      <c r="G16" s="690"/>
      <c r="H16" s="690"/>
      <c r="I16" s="690"/>
      <c r="J16" s="690"/>
      <c r="K16" s="690"/>
      <c r="L16" s="690"/>
      <c r="M16" s="690"/>
      <c r="N16" s="690"/>
      <c r="O16" s="690"/>
      <c r="P16" s="690"/>
      <c r="Q16" s="690"/>
      <c r="R16" s="690"/>
      <c r="U16" s="689"/>
      <c r="V16" s="689"/>
      <c r="W16" s="689"/>
      <c r="X16" s="689"/>
      <c r="Y16" s="689"/>
      <c r="Z16" s="689"/>
      <c r="AA16" s="689"/>
      <c r="AB16" s="689"/>
      <c r="AC16" s="689"/>
      <c r="AD16" s="689"/>
      <c r="AE16" s="689"/>
      <c r="AF16" s="689"/>
      <c r="AG16" s="689"/>
      <c r="AH16" s="689"/>
      <c r="AI16" s="689"/>
      <c r="AJ16" s="689"/>
      <c r="AK16" s="689"/>
      <c r="AL16" s="689"/>
      <c r="AM16" s="689"/>
      <c r="AN16" s="689"/>
      <c r="AO16" s="689"/>
      <c r="AP16" s="689"/>
      <c r="AQ16" s="689"/>
      <c r="AU16" s="691"/>
      <c r="AV16" s="691"/>
      <c r="AW16" s="691"/>
      <c r="AX16" s="691"/>
      <c r="AY16" s="691"/>
      <c r="AZ16" s="691"/>
      <c r="BA16" s="691"/>
      <c r="BB16" s="691"/>
      <c r="BC16" s="691"/>
      <c r="BD16" s="691"/>
      <c r="BE16" s="691"/>
      <c r="BF16" s="691"/>
      <c r="BG16" s="691"/>
      <c r="BH16" s="691"/>
      <c r="BI16" s="691"/>
      <c r="BJ16" s="691"/>
      <c r="BK16" s="691"/>
      <c r="BL16" s="691"/>
      <c r="BM16" s="691"/>
      <c r="BN16" s="691"/>
      <c r="BP16" s="692"/>
      <c r="BQ16" s="692"/>
      <c r="BR16" s="692"/>
      <c r="BS16" s="692"/>
      <c r="BT16" s="692"/>
      <c r="BU16" s="692"/>
      <c r="BV16" s="692"/>
      <c r="BW16" s="692"/>
      <c r="BX16" s="692"/>
      <c r="BY16" s="692"/>
      <c r="BZ16" s="692"/>
      <c r="CA16" s="692"/>
      <c r="CB16" s="692"/>
      <c r="CC16" s="692"/>
      <c r="CD16" s="692"/>
      <c r="CE16" s="692"/>
      <c r="CF16" s="692"/>
      <c r="CG16" s="692"/>
      <c r="CH16" s="692"/>
      <c r="CI16" s="692"/>
    </row>
    <row r="17" spans="2:87" ht="16.95" customHeight="1" x14ac:dyDescent="0.25">
      <c r="B17" s="690"/>
      <c r="C17" s="690"/>
      <c r="D17" s="690"/>
      <c r="E17" s="690"/>
      <c r="F17" s="690"/>
      <c r="G17" s="690"/>
      <c r="H17" s="690"/>
      <c r="I17" s="690"/>
      <c r="J17" s="690"/>
      <c r="K17" s="690"/>
      <c r="L17" s="690"/>
      <c r="M17" s="690"/>
      <c r="N17" s="690"/>
      <c r="O17" s="690"/>
      <c r="P17" s="690"/>
      <c r="Q17" s="690"/>
      <c r="R17" s="690"/>
      <c r="U17" s="689"/>
      <c r="V17" s="689"/>
      <c r="W17" s="689"/>
      <c r="X17" s="689"/>
      <c r="Y17" s="689"/>
      <c r="Z17" s="689"/>
      <c r="AA17" s="689"/>
      <c r="AB17" s="689"/>
      <c r="AC17" s="689"/>
      <c r="AD17" s="689"/>
      <c r="AE17" s="689"/>
      <c r="AF17" s="689"/>
      <c r="AG17" s="689"/>
      <c r="AH17" s="689"/>
      <c r="AI17" s="689"/>
      <c r="AJ17" s="689"/>
      <c r="AK17" s="689"/>
      <c r="AL17" s="689"/>
      <c r="AM17" s="689"/>
      <c r="AN17" s="689"/>
      <c r="AO17" s="689"/>
      <c r="AP17" s="689"/>
      <c r="AQ17" s="689"/>
      <c r="AU17" s="691"/>
      <c r="AV17" s="691"/>
      <c r="AW17" s="691"/>
      <c r="AX17" s="691"/>
      <c r="AY17" s="691"/>
      <c r="AZ17" s="691"/>
      <c r="BA17" s="691"/>
      <c r="BB17" s="691"/>
      <c r="BC17" s="691"/>
      <c r="BD17" s="691"/>
      <c r="BE17" s="691"/>
      <c r="BF17" s="691"/>
      <c r="BG17" s="691"/>
      <c r="BH17" s="691"/>
      <c r="BI17" s="691"/>
      <c r="BJ17" s="691"/>
      <c r="BK17" s="691"/>
      <c r="BL17" s="691"/>
      <c r="BM17" s="691"/>
      <c r="BN17" s="691"/>
      <c r="BP17" s="692"/>
      <c r="BQ17" s="692"/>
      <c r="BR17" s="692"/>
      <c r="BS17" s="692"/>
      <c r="BT17" s="692"/>
      <c r="BU17" s="692"/>
      <c r="BV17" s="692"/>
      <c r="BW17" s="692"/>
      <c r="BX17" s="692"/>
      <c r="BY17" s="692"/>
      <c r="BZ17" s="692"/>
      <c r="CA17" s="692"/>
      <c r="CB17" s="692"/>
      <c r="CC17" s="692"/>
      <c r="CD17" s="692"/>
      <c r="CE17" s="692"/>
      <c r="CF17" s="692"/>
      <c r="CG17" s="692"/>
      <c r="CH17" s="692"/>
      <c r="CI17" s="692"/>
    </row>
    <row r="18" spans="2:87" ht="16.95" customHeight="1" x14ac:dyDescent="0.25">
      <c r="B18" s="690"/>
      <c r="C18" s="690"/>
      <c r="D18" s="690"/>
      <c r="E18" s="690"/>
      <c r="F18" s="690"/>
      <c r="G18" s="690"/>
      <c r="H18" s="690"/>
      <c r="I18" s="690"/>
      <c r="J18" s="690"/>
      <c r="K18" s="690"/>
      <c r="L18" s="690"/>
      <c r="M18" s="690"/>
      <c r="N18" s="690"/>
      <c r="O18" s="690"/>
      <c r="P18" s="690"/>
      <c r="Q18" s="690"/>
      <c r="R18" s="690"/>
      <c r="U18" s="689"/>
      <c r="V18" s="689"/>
      <c r="W18" s="689"/>
      <c r="X18" s="689"/>
      <c r="Y18" s="689"/>
      <c r="Z18" s="689"/>
      <c r="AA18" s="689"/>
      <c r="AB18" s="689"/>
      <c r="AC18" s="689"/>
      <c r="AD18" s="689"/>
      <c r="AE18" s="689"/>
      <c r="AF18" s="689"/>
      <c r="AG18" s="689"/>
      <c r="AH18" s="689"/>
      <c r="AI18" s="689"/>
      <c r="AJ18" s="689"/>
      <c r="AK18" s="689"/>
      <c r="AL18" s="689"/>
      <c r="AM18" s="689"/>
      <c r="AN18" s="689"/>
      <c r="AO18" s="689"/>
      <c r="AP18" s="689"/>
      <c r="AQ18" s="689"/>
      <c r="AU18" s="691"/>
      <c r="AV18" s="691"/>
      <c r="AW18" s="691"/>
      <c r="AX18" s="691"/>
      <c r="AY18" s="691"/>
      <c r="AZ18" s="691"/>
      <c r="BA18" s="691"/>
      <c r="BB18" s="691"/>
      <c r="BC18" s="691"/>
      <c r="BD18" s="691"/>
      <c r="BE18" s="691"/>
      <c r="BF18" s="691"/>
      <c r="BG18" s="691"/>
      <c r="BH18" s="691"/>
      <c r="BI18" s="691"/>
      <c r="BJ18" s="691"/>
      <c r="BK18" s="691"/>
      <c r="BL18" s="691"/>
      <c r="BM18" s="691"/>
      <c r="BN18" s="691"/>
      <c r="BP18" s="692"/>
      <c r="BQ18" s="692"/>
      <c r="BR18" s="692"/>
      <c r="BS18" s="692"/>
      <c r="BT18" s="692"/>
      <c r="BU18" s="692"/>
      <c r="BV18" s="692"/>
      <c r="BW18" s="692"/>
      <c r="BX18" s="692"/>
      <c r="BY18" s="692"/>
      <c r="BZ18" s="692"/>
      <c r="CA18" s="692"/>
      <c r="CB18" s="692"/>
      <c r="CC18" s="692"/>
      <c r="CD18" s="692"/>
      <c r="CE18" s="692"/>
      <c r="CF18" s="692"/>
      <c r="CG18" s="692"/>
      <c r="CH18" s="692"/>
      <c r="CI18" s="692"/>
    </row>
    <row r="19" spans="2:87" ht="16.95" customHeight="1" x14ac:dyDescent="0.25">
      <c r="B19" s="690"/>
      <c r="C19" s="690"/>
      <c r="D19" s="690"/>
      <c r="E19" s="690"/>
      <c r="F19" s="690"/>
      <c r="G19" s="690"/>
      <c r="H19" s="690"/>
      <c r="I19" s="690"/>
      <c r="J19" s="690"/>
      <c r="K19" s="690"/>
      <c r="L19" s="690"/>
      <c r="M19" s="690"/>
      <c r="N19" s="690"/>
      <c r="O19" s="690"/>
      <c r="P19" s="690"/>
      <c r="Q19" s="690"/>
      <c r="R19" s="690"/>
      <c r="U19" s="689"/>
      <c r="V19" s="689"/>
      <c r="W19" s="689"/>
      <c r="X19" s="689"/>
      <c r="Y19" s="689"/>
      <c r="Z19" s="689"/>
      <c r="AA19" s="689"/>
      <c r="AB19" s="689"/>
      <c r="AC19" s="689"/>
      <c r="AD19" s="689"/>
      <c r="AE19" s="689"/>
      <c r="AF19" s="689"/>
      <c r="AG19" s="689"/>
      <c r="AH19" s="689"/>
      <c r="AI19" s="689"/>
      <c r="AJ19" s="689"/>
      <c r="AK19" s="689"/>
      <c r="AL19" s="689"/>
      <c r="AM19" s="689"/>
      <c r="AN19" s="689"/>
      <c r="AO19" s="689"/>
      <c r="AP19" s="689"/>
      <c r="AQ19" s="689"/>
      <c r="AU19" s="691"/>
      <c r="AV19" s="691"/>
      <c r="AW19" s="691"/>
      <c r="AX19" s="691"/>
      <c r="AY19" s="691"/>
      <c r="AZ19" s="691"/>
      <c r="BA19" s="691"/>
      <c r="BB19" s="691"/>
      <c r="BC19" s="691"/>
      <c r="BD19" s="691"/>
      <c r="BE19" s="691"/>
      <c r="BF19" s="691"/>
      <c r="BG19" s="691"/>
      <c r="BH19" s="691"/>
      <c r="BI19" s="691"/>
      <c r="BJ19" s="691"/>
      <c r="BK19" s="691"/>
      <c r="BL19" s="691"/>
      <c r="BM19" s="691"/>
      <c r="BN19" s="691"/>
      <c r="BP19" s="692"/>
      <c r="BQ19" s="692"/>
      <c r="BR19" s="692"/>
      <c r="BS19" s="692"/>
      <c r="BT19" s="692"/>
      <c r="BU19" s="692"/>
      <c r="BV19" s="692"/>
      <c r="BW19" s="692"/>
      <c r="BX19" s="692"/>
      <c r="BY19" s="692"/>
      <c r="BZ19" s="692"/>
      <c r="CA19" s="692"/>
      <c r="CB19" s="692"/>
      <c r="CC19" s="692"/>
      <c r="CD19" s="692"/>
      <c r="CE19" s="692"/>
      <c r="CF19" s="692"/>
      <c r="CG19" s="692"/>
      <c r="CH19" s="692"/>
      <c r="CI19" s="692"/>
    </row>
    <row r="20" spans="2:87" ht="16.95" customHeight="1" x14ac:dyDescent="0.25">
      <c r="B20" s="690"/>
      <c r="C20" s="690"/>
      <c r="D20" s="690"/>
      <c r="E20" s="690"/>
      <c r="F20" s="690"/>
      <c r="G20" s="690"/>
      <c r="H20" s="690"/>
      <c r="I20" s="690"/>
      <c r="J20" s="690"/>
      <c r="K20" s="690"/>
      <c r="L20" s="690"/>
      <c r="M20" s="690"/>
      <c r="N20" s="690"/>
      <c r="O20" s="690"/>
      <c r="P20" s="690"/>
      <c r="Q20" s="690"/>
      <c r="R20" s="690"/>
      <c r="U20" s="689"/>
      <c r="V20" s="689"/>
      <c r="W20" s="689"/>
      <c r="X20" s="689"/>
      <c r="Y20" s="689"/>
      <c r="Z20" s="689"/>
      <c r="AA20" s="689"/>
      <c r="AB20" s="689"/>
      <c r="AC20" s="689"/>
      <c r="AD20" s="689"/>
      <c r="AE20" s="689"/>
      <c r="AF20" s="689"/>
      <c r="AG20" s="689"/>
      <c r="AH20" s="689"/>
      <c r="AI20" s="689"/>
      <c r="AJ20" s="689"/>
      <c r="AK20" s="689"/>
      <c r="AL20" s="689"/>
      <c r="AM20" s="689"/>
      <c r="AN20" s="689"/>
      <c r="AO20" s="689"/>
      <c r="AP20" s="689"/>
      <c r="AQ20" s="689"/>
      <c r="AU20" s="691"/>
      <c r="AV20" s="691"/>
      <c r="AW20" s="691"/>
      <c r="AX20" s="691"/>
      <c r="AY20" s="691"/>
      <c r="AZ20" s="691"/>
      <c r="BA20" s="691"/>
      <c r="BB20" s="691"/>
      <c r="BC20" s="691"/>
      <c r="BD20" s="691"/>
      <c r="BE20" s="691"/>
      <c r="BF20" s="691"/>
      <c r="BG20" s="691"/>
      <c r="BH20" s="691"/>
      <c r="BI20" s="691"/>
      <c r="BJ20" s="691"/>
      <c r="BK20" s="691"/>
      <c r="BL20" s="691"/>
      <c r="BM20" s="691"/>
      <c r="BN20" s="691"/>
      <c r="BP20" s="692"/>
      <c r="BQ20" s="692"/>
      <c r="BR20" s="692"/>
      <c r="BS20" s="692"/>
      <c r="BT20" s="692"/>
      <c r="BU20" s="692"/>
      <c r="BV20" s="692"/>
      <c r="BW20" s="692"/>
      <c r="BX20" s="692"/>
      <c r="BY20" s="692"/>
      <c r="BZ20" s="692"/>
      <c r="CA20" s="692"/>
      <c r="CB20" s="692"/>
      <c r="CC20" s="692"/>
      <c r="CD20" s="692"/>
      <c r="CE20" s="692"/>
      <c r="CF20" s="692"/>
      <c r="CG20" s="692"/>
      <c r="CH20" s="692"/>
      <c r="CI20" s="692"/>
    </row>
    <row r="21" spans="2:87" ht="16.95" customHeight="1" x14ac:dyDescent="0.25">
      <c r="B21" s="690"/>
      <c r="C21" s="690"/>
      <c r="D21" s="690"/>
      <c r="E21" s="690"/>
      <c r="F21" s="690"/>
      <c r="G21" s="690"/>
      <c r="H21" s="690"/>
      <c r="I21" s="690"/>
      <c r="J21" s="690"/>
      <c r="K21" s="690"/>
      <c r="L21" s="690"/>
      <c r="M21" s="690"/>
      <c r="N21" s="690"/>
      <c r="O21" s="690"/>
      <c r="P21" s="690"/>
      <c r="Q21" s="690"/>
      <c r="R21" s="690"/>
      <c r="U21" s="689"/>
      <c r="V21" s="689"/>
      <c r="W21" s="689"/>
      <c r="X21" s="689"/>
      <c r="Y21" s="689"/>
      <c r="Z21" s="689"/>
      <c r="AA21" s="689"/>
      <c r="AB21" s="689"/>
      <c r="AC21" s="689"/>
      <c r="AD21" s="689"/>
      <c r="AE21" s="689"/>
      <c r="AF21" s="689"/>
      <c r="AG21" s="689"/>
      <c r="AH21" s="689"/>
      <c r="AI21" s="689"/>
      <c r="AJ21" s="689"/>
      <c r="AK21" s="689"/>
      <c r="AL21" s="689"/>
      <c r="AM21" s="689"/>
      <c r="AN21" s="689"/>
      <c r="AO21" s="689"/>
      <c r="AP21" s="689"/>
      <c r="AQ21" s="689"/>
      <c r="AU21" s="691"/>
      <c r="AV21" s="691"/>
      <c r="AW21" s="691"/>
      <c r="AX21" s="691"/>
      <c r="AY21" s="691"/>
      <c r="AZ21" s="691"/>
      <c r="BA21" s="691"/>
      <c r="BB21" s="691"/>
      <c r="BC21" s="691"/>
      <c r="BD21" s="691"/>
      <c r="BE21" s="691"/>
      <c r="BF21" s="691"/>
      <c r="BG21" s="691"/>
      <c r="BH21" s="691"/>
      <c r="BI21" s="691"/>
      <c r="BJ21" s="691"/>
      <c r="BK21" s="691"/>
      <c r="BL21" s="691"/>
      <c r="BM21" s="691"/>
      <c r="BN21" s="691"/>
      <c r="BP21" s="692"/>
      <c r="BQ21" s="692"/>
      <c r="BR21" s="692"/>
      <c r="BS21" s="692"/>
      <c r="BT21" s="692"/>
      <c r="BU21" s="692"/>
      <c r="BV21" s="692"/>
      <c r="BW21" s="692"/>
      <c r="BX21" s="692"/>
      <c r="BY21" s="692"/>
      <c r="BZ21" s="692"/>
      <c r="CA21" s="692"/>
      <c r="CB21" s="692"/>
      <c r="CC21" s="692"/>
      <c r="CD21" s="692"/>
      <c r="CE21" s="692"/>
      <c r="CF21" s="692"/>
      <c r="CG21" s="692"/>
      <c r="CH21" s="692"/>
      <c r="CI21" s="692"/>
    </row>
    <row r="22" spans="2:87" ht="16.95" customHeight="1" x14ac:dyDescent="0.25">
      <c r="B22" s="690"/>
      <c r="C22" s="690"/>
      <c r="D22" s="690"/>
      <c r="E22" s="690"/>
      <c r="F22" s="690"/>
      <c r="G22" s="690"/>
      <c r="H22" s="690"/>
      <c r="I22" s="690"/>
      <c r="J22" s="690"/>
      <c r="K22" s="690"/>
      <c r="L22" s="690"/>
      <c r="M22" s="690"/>
      <c r="N22" s="690"/>
      <c r="O22" s="690"/>
      <c r="P22" s="690"/>
      <c r="Q22" s="690"/>
      <c r="R22" s="690"/>
      <c r="U22" s="689"/>
      <c r="V22" s="689"/>
      <c r="W22" s="689"/>
      <c r="X22" s="689"/>
      <c r="Y22" s="689"/>
      <c r="Z22" s="689"/>
      <c r="AA22" s="689"/>
      <c r="AB22" s="689"/>
      <c r="AC22" s="689"/>
      <c r="AD22" s="689"/>
      <c r="AE22" s="689"/>
      <c r="AF22" s="689"/>
      <c r="AG22" s="689"/>
      <c r="AH22" s="689"/>
      <c r="AI22" s="689"/>
      <c r="AJ22" s="689"/>
      <c r="AK22" s="689"/>
      <c r="AL22" s="689"/>
      <c r="AM22" s="689"/>
      <c r="AN22" s="689"/>
      <c r="AO22" s="689"/>
      <c r="AP22" s="689"/>
      <c r="AQ22" s="689"/>
      <c r="AU22" s="691"/>
      <c r="AV22" s="691"/>
      <c r="AW22" s="691"/>
      <c r="AX22" s="691"/>
      <c r="AY22" s="691"/>
      <c r="AZ22" s="691"/>
      <c r="BA22" s="691"/>
      <c r="BB22" s="691"/>
      <c r="BC22" s="691"/>
      <c r="BD22" s="691"/>
      <c r="BE22" s="691"/>
      <c r="BF22" s="691"/>
      <c r="BG22" s="691"/>
      <c r="BH22" s="691"/>
      <c r="BI22" s="691"/>
      <c r="BJ22" s="691"/>
      <c r="BK22" s="691"/>
      <c r="BL22" s="691"/>
      <c r="BM22" s="691"/>
      <c r="BN22" s="691"/>
      <c r="BP22" s="692"/>
      <c r="BQ22" s="692"/>
      <c r="BR22" s="692"/>
      <c r="BS22" s="692"/>
      <c r="BT22" s="692"/>
      <c r="BU22" s="692"/>
      <c r="BV22" s="692"/>
      <c r="BW22" s="692"/>
      <c r="BX22" s="692"/>
      <c r="BY22" s="692"/>
      <c r="BZ22" s="692"/>
      <c r="CA22" s="692"/>
      <c r="CB22" s="692"/>
      <c r="CC22" s="692"/>
      <c r="CD22" s="692"/>
      <c r="CE22" s="692"/>
      <c r="CF22" s="692"/>
      <c r="CG22" s="692"/>
      <c r="CH22" s="692"/>
      <c r="CI22" s="692"/>
    </row>
    <row r="23" spans="2:87" ht="16.95" customHeight="1" x14ac:dyDescent="0.25">
      <c r="B23" s="697" t="s">
        <v>2252</v>
      </c>
      <c r="C23" s="697"/>
      <c r="D23" s="697"/>
      <c r="E23" s="697"/>
      <c r="F23" s="697"/>
      <c r="G23" s="697"/>
      <c r="H23" s="697"/>
      <c r="I23" s="697"/>
      <c r="J23" s="697"/>
      <c r="K23" s="697"/>
      <c r="L23" s="697"/>
      <c r="M23" s="697"/>
      <c r="N23" s="697"/>
      <c r="O23" s="697"/>
      <c r="P23" s="697"/>
      <c r="Q23" s="697"/>
      <c r="R23" s="697"/>
      <c r="U23" s="689"/>
      <c r="V23" s="689"/>
      <c r="W23" s="689"/>
      <c r="X23" s="689"/>
      <c r="Y23" s="689"/>
      <c r="Z23" s="689"/>
      <c r="AA23" s="689"/>
      <c r="AB23" s="689"/>
      <c r="AC23" s="689"/>
      <c r="AD23" s="689"/>
      <c r="AE23" s="689"/>
      <c r="AF23" s="689"/>
      <c r="AG23" s="689"/>
      <c r="AH23" s="689"/>
      <c r="AI23" s="689"/>
      <c r="AJ23" s="689"/>
      <c r="AK23" s="689"/>
      <c r="AL23" s="689"/>
      <c r="AM23" s="689"/>
      <c r="AN23" s="689"/>
      <c r="AO23" s="689"/>
      <c r="AP23" s="689"/>
      <c r="AQ23" s="689"/>
      <c r="AU23" s="691"/>
      <c r="AV23" s="691"/>
      <c r="AW23" s="691"/>
      <c r="AX23" s="691"/>
      <c r="AY23" s="691"/>
      <c r="AZ23" s="691"/>
      <c r="BA23" s="691"/>
      <c r="BB23" s="691"/>
      <c r="BC23" s="691"/>
      <c r="BD23" s="691"/>
      <c r="BE23" s="691"/>
      <c r="BF23" s="691"/>
      <c r="BG23" s="691"/>
      <c r="BH23" s="691"/>
      <c r="BI23" s="691"/>
      <c r="BJ23" s="691"/>
      <c r="BK23" s="691"/>
      <c r="BL23" s="691"/>
      <c r="BM23" s="691"/>
      <c r="BN23" s="691"/>
      <c r="BP23" s="692"/>
      <c r="BQ23" s="692"/>
      <c r="BR23" s="692"/>
      <c r="BS23" s="692"/>
      <c r="BT23" s="692"/>
      <c r="BU23" s="692"/>
      <c r="BV23" s="692"/>
      <c r="BW23" s="692"/>
      <c r="BX23" s="692"/>
      <c r="BY23" s="692"/>
      <c r="BZ23" s="692"/>
      <c r="CA23" s="692"/>
      <c r="CB23" s="692"/>
      <c r="CC23" s="692"/>
      <c r="CD23" s="692"/>
      <c r="CE23" s="692"/>
      <c r="CF23" s="692"/>
      <c r="CG23" s="692"/>
      <c r="CH23" s="692"/>
      <c r="CI23" s="692"/>
    </row>
    <row r="24" spans="2:87" ht="16.95" customHeight="1" x14ac:dyDescent="0.25">
      <c r="B24" s="690"/>
      <c r="C24" s="690"/>
      <c r="D24" s="690"/>
      <c r="E24" s="690"/>
      <c r="F24" s="690"/>
      <c r="G24" s="690"/>
      <c r="H24" s="690"/>
      <c r="I24" s="690"/>
      <c r="J24" s="690"/>
      <c r="K24" s="690"/>
      <c r="L24" s="690"/>
      <c r="M24" s="690"/>
      <c r="N24" s="690"/>
      <c r="O24" s="690"/>
      <c r="P24" s="690"/>
      <c r="Q24" s="690"/>
      <c r="R24" s="690"/>
      <c r="U24" s="689"/>
      <c r="V24" s="689"/>
      <c r="W24" s="689"/>
      <c r="X24" s="689"/>
      <c r="Y24" s="689"/>
      <c r="Z24" s="689"/>
      <c r="AA24" s="689"/>
      <c r="AB24" s="689"/>
      <c r="AC24" s="689"/>
      <c r="AD24" s="689"/>
      <c r="AE24" s="689"/>
      <c r="AF24" s="689"/>
      <c r="AG24" s="689"/>
      <c r="AH24" s="689"/>
      <c r="AI24" s="689"/>
      <c r="AJ24" s="689"/>
      <c r="AK24" s="689"/>
      <c r="AL24" s="689"/>
      <c r="AM24" s="689"/>
      <c r="AN24" s="689"/>
      <c r="AO24" s="689"/>
      <c r="AP24" s="689"/>
      <c r="AQ24" s="689"/>
      <c r="AU24" s="691"/>
      <c r="AV24" s="691"/>
      <c r="AW24" s="691"/>
      <c r="AX24" s="691"/>
      <c r="AY24" s="691"/>
      <c r="AZ24" s="691"/>
      <c r="BA24" s="691"/>
      <c r="BB24" s="691"/>
      <c r="BC24" s="691"/>
      <c r="BD24" s="691"/>
      <c r="BE24" s="691"/>
      <c r="BF24" s="691"/>
      <c r="BG24" s="691"/>
      <c r="BH24" s="691"/>
      <c r="BI24" s="691"/>
      <c r="BJ24" s="691"/>
      <c r="BK24" s="691"/>
      <c r="BL24" s="691"/>
      <c r="BM24" s="691"/>
      <c r="BN24" s="691"/>
      <c r="BP24" s="692"/>
      <c r="BQ24" s="692"/>
      <c r="BR24" s="692"/>
      <c r="BS24" s="692"/>
      <c r="BT24" s="692"/>
      <c r="BU24" s="692"/>
      <c r="BV24" s="692"/>
      <c r="BW24" s="692"/>
      <c r="BX24" s="692"/>
      <c r="BY24" s="692"/>
      <c r="BZ24" s="692"/>
      <c r="CA24" s="692"/>
      <c r="CB24" s="692"/>
      <c r="CC24" s="692"/>
      <c r="CD24" s="692"/>
      <c r="CE24" s="692"/>
      <c r="CF24" s="692"/>
      <c r="CG24" s="692"/>
      <c r="CH24" s="692"/>
      <c r="CI24" s="692"/>
    </row>
    <row r="25" spans="2:87" ht="16.95" customHeight="1" x14ac:dyDescent="0.25">
      <c r="B25" s="690"/>
      <c r="C25" s="690"/>
      <c r="D25" s="690"/>
      <c r="E25" s="690"/>
      <c r="F25" s="690"/>
      <c r="G25" s="690"/>
      <c r="H25" s="690"/>
      <c r="I25" s="690"/>
      <c r="J25" s="690"/>
      <c r="K25" s="690"/>
      <c r="L25" s="690"/>
      <c r="M25" s="690"/>
      <c r="N25" s="690"/>
      <c r="O25" s="690"/>
      <c r="P25" s="690"/>
      <c r="Q25" s="690"/>
      <c r="R25" s="690"/>
      <c r="U25" s="689"/>
      <c r="V25" s="689"/>
      <c r="W25" s="689"/>
      <c r="X25" s="689"/>
      <c r="Y25" s="689"/>
      <c r="Z25" s="689"/>
      <c r="AA25" s="689"/>
      <c r="AB25" s="689"/>
      <c r="AC25" s="689"/>
      <c r="AD25" s="689"/>
      <c r="AE25" s="689"/>
      <c r="AF25" s="689"/>
      <c r="AG25" s="689"/>
      <c r="AH25" s="689"/>
      <c r="AI25" s="689"/>
      <c r="AJ25" s="689"/>
      <c r="AK25" s="689"/>
      <c r="AL25" s="689"/>
      <c r="AM25" s="689"/>
      <c r="AN25" s="689"/>
      <c r="AO25" s="689"/>
      <c r="AP25" s="689"/>
      <c r="AQ25" s="689"/>
      <c r="AU25" s="691"/>
      <c r="AV25" s="691"/>
      <c r="AW25" s="691"/>
      <c r="AX25" s="691"/>
      <c r="AY25" s="691"/>
      <c r="AZ25" s="691"/>
      <c r="BA25" s="691"/>
      <c r="BB25" s="691"/>
      <c r="BC25" s="691"/>
      <c r="BD25" s="691"/>
      <c r="BE25" s="691"/>
      <c r="BF25" s="691"/>
      <c r="BG25" s="691"/>
      <c r="BH25" s="691"/>
      <c r="BI25" s="691"/>
      <c r="BJ25" s="691"/>
      <c r="BK25" s="691"/>
      <c r="BL25" s="691"/>
      <c r="BM25" s="691"/>
      <c r="BN25" s="691"/>
      <c r="BP25" s="692"/>
      <c r="BQ25" s="692"/>
      <c r="BR25" s="692"/>
      <c r="BS25" s="692"/>
      <c r="BT25" s="692"/>
      <c r="BU25" s="692"/>
      <c r="BV25" s="692"/>
      <c r="BW25" s="692"/>
      <c r="BX25" s="692"/>
      <c r="BY25" s="692"/>
      <c r="BZ25" s="692"/>
      <c r="CA25" s="692"/>
      <c r="CB25" s="692"/>
      <c r="CC25" s="692"/>
      <c r="CD25" s="692"/>
      <c r="CE25" s="692"/>
      <c r="CF25" s="692"/>
      <c r="CG25" s="692"/>
      <c r="CH25" s="692"/>
      <c r="CI25" s="692"/>
    </row>
    <row r="26" spans="2:87" ht="16.95" customHeight="1" x14ac:dyDescent="0.25">
      <c r="B26" s="690"/>
      <c r="C26" s="690"/>
      <c r="D26" s="690"/>
      <c r="E26" s="690"/>
      <c r="F26" s="690"/>
      <c r="G26" s="690"/>
      <c r="H26" s="690"/>
      <c r="I26" s="690"/>
      <c r="J26" s="690"/>
      <c r="K26" s="690"/>
      <c r="L26" s="690"/>
      <c r="M26" s="690"/>
      <c r="N26" s="690"/>
      <c r="O26" s="690"/>
      <c r="P26" s="690"/>
      <c r="Q26" s="690"/>
      <c r="R26" s="690"/>
      <c r="U26" s="689"/>
      <c r="V26" s="689"/>
      <c r="W26" s="689"/>
      <c r="X26" s="689"/>
      <c r="Y26" s="689"/>
      <c r="Z26" s="689"/>
      <c r="AA26" s="689"/>
      <c r="AB26" s="689"/>
      <c r="AC26" s="689"/>
      <c r="AD26" s="689"/>
      <c r="AE26" s="689"/>
      <c r="AF26" s="689"/>
      <c r="AG26" s="689"/>
      <c r="AH26" s="689"/>
      <c r="AI26" s="689"/>
      <c r="AJ26" s="689"/>
      <c r="AK26" s="689"/>
      <c r="AL26" s="689"/>
      <c r="AM26" s="689"/>
      <c r="AN26" s="689"/>
      <c r="AO26" s="689"/>
      <c r="AP26" s="689"/>
      <c r="AQ26" s="689"/>
      <c r="AU26" s="691"/>
      <c r="AV26" s="691"/>
      <c r="AW26" s="691"/>
      <c r="AX26" s="691"/>
      <c r="AY26" s="691"/>
      <c r="AZ26" s="691"/>
      <c r="BA26" s="691"/>
      <c r="BB26" s="691"/>
      <c r="BC26" s="691"/>
      <c r="BD26" s="691"/>
      <c r="BE26" s="691"/>
      <c r="BF26" s="691"/>
      <c r="BG26" s="691"/>
      <c r="BH26" s="691"/>
      <c r="BI26" s="691"/>
      <c r="BJ26" s="691"/>
      <c r="BK26" s="691"/>
      <c r="BL26" s="691"/>
      <c r="BM26" s="691"/>
      <c r="BN26" s="691"/>
      <c r="BP26" s="692"/>
      <c r="BQ26" s="692"/>
      <c r="BR26" s="692"/>
      <c r="BS26" s="692"/>
      <c r="BT26" s="692"/>
      <c r="BU26" s="692"/>
      <c r="BV26" s="692"/>
      <c r="BW26" s="692"/>
      <c r="BX26" s="692"/>
      <c r="BY26" s="692"/>
      <c r="BZ26" s="692"/>
      <c r="CA26" s="692"/>
      <c r="CB26" s="692"/>
      <c r="CC26" s="692"/>
      <c r="CD26" s="692"/>
      <c r="CE26" s="692"/>
      <c r="CF26" s="692"/>
      <c r="CG26" s="692"/>
      <c r="CH26" s="692"/>
      <c r="CI26" s="692"/>
    </row>
    <row r="27" spans="2:87" ht="16.95" customHeight="1" x14ac:dyDescent="0.25">
      <c r="B27" s="690"/>
      <c r="C27" s="690"/>
      <c r="D27" s="690"/>
      <c r="E27" s="690"/>
      <c r="F27" s="690"/>
      <c r="G27" s="690"/>
      <c r="H27" s="690"/>
      <c r="I27" s="690"/>
      <c r="J27" s="690"/>
      <c r="K27" s="690"/>
      <c r="L27" s="690"/>
      <c r="M27" s="690"/>
      <c r="N27" s="690"/>
      <c r="O27" s="690"/>
      <c r="P27" s="690"/>
      <c r="Q27" s="690"/>
      <c r="R27" s="690"/>
      <c r="U27" s="689"/>
      <c r="V27" s="689"/>
      <c r="W27" s="689"/>
      <c r="X27" s="689"/>
      <c r="Y27" s="689"/>
      <c r="Z27" s="689"/>
      <c r="AA27" s="689"/>
      <c r="AB27" s="689"/>
      <c r="AC27" s="689"/>
      <c r="AD27" s="689"/>
      <c r="AE27" s="689"/>
      <c r="AF27" s="689"/>
      <c r="AG27" s="689"/>
      <c r="AH27" s="689"/>
      <c r="AI27" s="689"/>
      <c r="AJ27" s="689"/>
      <c r="AK27" s="689"/>
      <c r="AL27" s="689"/>
      <c r="AM27" s="689"/>
      <c r="AN27" s="689"/>
      <c r="AO27" s="689"/>
      <c r="AP27" s="689"/>
      <c r="AQ27" s="689"/>
      <c r="AU27" s="691"/>
      <c r="AV27" s="691"/>
      <c r="AW27" s="691"/>
      <c r="AX27" s="691"/>
      <c r="AY27" s="691"/>
      <c r="AZ27" s="691"/>
      <c r="BA27" s="691"/>
      <c r="BB27" s="691"/>
      <c r="BC27" s="691"/>
      <c r="BD27" s="691"/>
      <c r="BE27" s="691"/>
      <c r="BF27" s="691"/>
      <c r="BG27" s="691"/>
      <c r="BH27" s="691"/>
      <c r="BI27" s="691"/>
      <c r="BJ27" s="691"/>
      <c r="BK27" s="691"/>
      <c r="BL27" s="691"/>
      <c r="BM27" s="691"/>
      <c r="BN27" s="691"/>
      <c r="BP27" s="692"/>
      <c r="BQ27" s="692"/>
      <c r="BR27" s="692"/>
      <c r="BS27" s="692"/>
      <c r="BT27" s="692"/>
      <c r="BU27" s="692"/>
      <c r="BV27" s="692"/>
      <c r="BW27" s="692"/>
      <c r="BX27" s="692"/>
      <c r="BY27" s="692"/>
      <c r="BZ27" s="692"/>
      <c r="CA27" s="692"/>
      <c r="CB27" s="692"/>
      <c r="CC27" s="692"/>
      <c r="CD27" s="692"/>
      <c r="CE27" s="692"/>
      <c r="CF27" s="692"/>
      <c r="CG27" s="692"/>
      <c r="CH27" s="692"/>
      <c r="CI27" s="692"/>
    </row>
    <row r="28" spans="2:87" ht="16.95" customHeight="1" x14ac:dyDescent="0.25">
      <c r="B28" s="690"/>
      <c r="C28" s="690"/>
      <c r="D28" s="690"/>
      <c r="E28" s="690"/>
      <c r="F28" s="690"/>
      <c r="G28" s="690"/>
      <c r="H28" s="690"/>
      <c r="I28" s="690"/>
      <c r="J28" s="690"/>
      <c r="K28" s="690"/>
      <c r="L28" s="690"/>
      <c r="M28" s="690"/>
      <c r="N28" s="690"/>
      <c r="O28" s="690"/>
      <c r="P28" s="690"/>
      <c r="Q28" s="690"/>
      <c r="R28" s="690"/>
      <c r="U28" s="689"/>
      <c r="V28" s="689"/>
      <c r="W28" s="689"/>
      <c r="X28" s="689"/>
      <c r="Y28" s="689"/>
      <c r="Z28" s="689"/>
      <c r="AA28" s="689"/>
      <c r="AB28" s="689"/>
      <c r="AC28" s="689"/>
      <c r="AD28" s="689"/>
      <c r="AE28" s="689"/>
      <c r="AF28" s="689"/>
      <c r="AG28" s="689"/>
      <c r="AH28" s="689"/>
      <c r="AI28" s="689"/>
      <c r="AJ28" s="689"/>
      <c r="AK28" s="689"/>
      <c r="AL28" s="689"/>
      <c r="AM28" s="689"/>
      <c r="AN28" s="689"/>
      <c r="AO28" s="689"/>
      <c r="AP28" s="689"/>
      <c r="AQ28" s="689"/>
      <c r="AU28" s="691"/>
      <c r="AV28" s="691"/>
      <c r="AW28" s="691"/>
      <c r="AX28" s="691"/>
      <c r="AY28" s="691"/>
      <c r="AZ28" s="691"/>
      <c r="BA28" s="691"/>
      <c r="BB28" s="691"/>
      <c r="BC28" s="691"/>
      <c r="BD28" s="691"/>
      <c r="BE28" s="691"/>
      <c r="BF28" s="691"/>
      <c r="BG28" s="691"/>
      <c r="BH28" s="691"/>
      <c r="BI28" s="691"/>
      <c r="BJ28" s="691"/>
      <c r="BK28" s="691"/>
      <c r="BL28" s="691"/>
      <c r="BM28" s="691"/>
      <c r="BN28" s="691"/>
      <c r="BP28" s="692"/>
      <c r="BQ28" s="692"/>
      <c r="BR28" s="692"/>
      <c r="BS28" s="692"/>
      <c r="BT28" s="692"/>
      <c r="BU28" s="692"/>
      <c r="BV28" s="692"/>
      <c r="BW28" s="692"/>
      <c r="BX28" s="692"/>
      <c r="BY28" s="692"/>
      <c r="BZ28" s="692"/>
      <c r="CA28" s="692"/>
      <c r="CB28" s="692"/>
      <c r="CC28" s="692"/>
      <c r="CD28" s="692"/>
      <c r="CE28" s="692"/>
      <c r="CF28" s="692"/>
      <c r="CG28" s="692"/>
      <c r="CH28" s="692"/>
      <c r="CI28" s="692"/>
    </row>
    <row r="29" spans="2:87" ht="16.95" customHeight="1" x14ac:dyDescent="0.25">
      <c r="B29" s="690"/>
      <c r="C29" s="690"/>
      <c r="D29" s="690"/>
      <c r="E29" s="690"/>
      <c r="F29" s="690"/>
      <c r="G29" s="690"/>
      <c r="H29" s="690"/>
      <c r="I29" s="690"/>
      <c r="J29" s="690"/>
      <c r="K29" s="690"/>
      <c r="L29" s="690"/>
      <c r="M29" s="690"/>
      <c r="N29" s="690"/>
      <c r="O29" s="690"/>
      <c r="P29" s="690"/>
      <c r="Q29" s="690"/>
      <c r="R29" s="690"/>
      <c r="U29" s="689"/>
      <c r="V29" s="689"/>
      <c r="W29" s="689"/>
      <c r="X29" s="689"/>
      <c r="Y29" s="689"/>
      <c r="Z29" s="689"/>
      <c r="AA29" s="689"/>
      <c r="AB29" s="689"/>
      <c r="AC29" s="689"/>
      <c r="AD29" s="689"/>
      <c r="AE29" s="689"/>
      <c r="AF29" s="689"/>
      <c r="AG29" s="689"/>
      <c r="AH29" s="689"/>
      <c r="AI29" s="689"/>
      <c r="AJ29" s="689"/>
      <c r="AK29" s="689"/>
      <c r="AL29" s="689"/>
      <c r="AM29" s="689"/>
      <c r="AN29" s="689"/>
      <c r="AO29" s="689"/>
      <c r="AP29" s="689"/>
      <c r="AQ29" s="689"/>
      <c r="AU29" s="691"/>
      <c r="AV29" s="691"/>
      <c r="AW29" s="691"/>
      <c r="AX29" s="691"/>
      <c r="AY29" s="691"/>
      <c r="AZ29" s="691"/>
      <c r="BA29" s="691"/>
      <c r="BB29" s="691"/>
      <c r="BC29" s="691"/>
      <c r="BD29" s="691"/>
      <c r="BE29" s="691"/>
      <c r="BF29" s="691"/>
      <c r="BG29" s="691"/>
      <c r="BH29" s="691"/>
      <c r="BI29" s="691"/>
      <c r="BJ29" s="691"/>
      <c r="BK29" s="691"/>
      <c r="BL29" s="691"/>
      <c r="BM29" s="691"/>
      <c r="BN29" s="691"/>
      <c r="BP29" s="692"/>
      <c r="BQ29" s="692"/>
      <c r="BR29" s="692"/>
      <c r="BS29" s="692"/>
      <c r="BT29" s="692"/>
      <c r="BU29" s="692"/>
      <c r="BV29" s="692"/>
      <c r="BW29" s="692"/>
      <c r="BX29" s="692"/>
      <c r="BY29" s="692"/>
      <c r="BZ29" s="692"/>
      <c r="CA29" s="692"/>
      <c r="CB29" s="692"/>
      <c r="CC29" s="692"/>
      <c r="CD29" s="692"/>
      <c r="CE29" s="692"/>
      <c r="CF29" s="692"/>
      <c r="CG29" s="692"/>
      <c r="CH29" s="692"/>
      <c r="CI29" s="692"/>
    </row>
    <row r="30" spans="2:87" ht="16.95" customHeight="1" x14ac:dyDescent="0.25">
      <c r="B30" s="690"/>
      <c r="C30" s="690"/>
      <c r="D30" s="690"/>
      <c r="E30" s="690"/>
      <c r="F30" s="690"/>
      <c r="G30" s="690"/>
      <c r="H30" s="690"/>
      <c r="I30" s="690"/>
      <c r="J30" s="690"/>
      <c r="K30" s="690"/>
      <c r="L30" s="690"/>
      <c r="M30" s="690"/>
      <c r="N30" s="690"/>
      <c r="O30" s="690"/>
      <c r="P30" s="690"/>
      <c r="Q30" s="690"/>
      <c r="R30" s="690"/>
      <c r="U30" s="689"/>
      <c r="V30" s="689"/>
      <c r="W30" s="689"/>
      <c r="X30" s="689"/>
      <c r="Y30" s="689"/>
      <c r="Z30" s="689"/>
      <c r="AA30" s="689"/>
      <c r="AB30" s="689"/>
      <c r="AC30" s="689"/>
      <c r="AD30" s="689"/>
      <c r="AE30" s="689"/>
      <c r="AF30" s="689"/>
      <c r="AG30" s="689"/>
      <c r="AH30" s="689"/>
      <c r="AI30" s="689"/>
      <c r="AJ30" s="689"/>
      <c r="AK30" s="689"/>
      <c r="AL30" s="689"/>
      <c r="AM30" s="689"/>
      <c r="AN30" s="689"/>
      <c r="AO30" s="689"/>
      <c r="AP30" s="689"/>
      <c r="AQ30" s="689"/>
    </row>
    <row r="31" spans="2:87" ht="16.95" customHeight="1" x14ac:dyDescent="0.35">
      <c r="B31" s="690"/>
      <c r="C31" s="690"/>
      <c r="D31" s="690"/>
      <c r="E31" s="690"/>
      <c r="F31" s="690"/>
      <c r="G31" s="690"/>
      <c r="H31" s="690"/>
      <c r="I31" s="690"/>
      <c r="J31" s="690"/>
      <c r="K31" s="690"/>
      <c r="L31" s="690"/>
      <c r="M31" s="690"/>
      <c r="N31" s="690"/>
      <c r="O31" s="690"/>
      <c r="P31" s="690"/>
      <c r="Q31" s="690"/>
      <c r="R31" s="690"/>
      <c r="U31" s="696" t="s">
        <v>118</v>
      </c>
      <c r="V31" s="696"/>
      <c r="W31" s="696"/>
      <c r="X31" s="696"/>
      <c r="Y31" s="696"/>
      <c r="Z31" s="696"/>
      <c r="AA31" s="696"/>
      <c r="AB31" s="696"/>
      <c r="AC31" s="696"/>
      <c r="AD31" s="696"/>
      <c r="AE31" s="696"/>
      <c r="AF31" s="696"/>
      <c r="AG31" s="696"/>
      <c r="AH31" s="696"/>
      <c r="AI31" s="696"/>
      <c r="AJ31" s="696"/>
      <c r="AK31" s="696"/>
      <c r="AL31" s="696"/>
      <c r="AM31" s="696"/>
      <c r="AN31" s="696"/>
      <c r="AO31" s="696"/>
      <c r="AP31" s="696"/>
      <c r="AQ31" s="696"/>
    </row>
    <row r="32" spans="2:87" ht="16.95" customHeight="1" x14ac:dyDescent="0.25">
      <c r="B32" s="690"/>
      <c r="C32" s="690"/>
      <c r="D32" s="690"/>
      <c r="E32" s="690"/>
      <c r="F32" s="690"/>
      <c r="G32" s="690"/>
      <c r="H32" s="690"/>
      <c r="I32" s="690"/>
      <c r="J32" s="690"/>
      <c r="K32" s="690"/>
      <c r="L32" s="690"/>
      <c r="M32" s="690"/>
      <c r="N32" s="690"/>
      <c r="O32" s="690"/>
      <c r="P32" s="690"/>
      <c r="Q32" s="690"/>
      <c r="R32" s="690"/>
      <c r="U32" s="689"/>
      <c r="V32" s="689"/>
      <c r="W32" s="689"/>
      <c r="X32" s="689"/>
      <c r="Y32" s="689"/>
      <c r="Z32" s="689"/>
      <c r="AA32" s="689"/>
      <c r="AB32" s="689"/>
      <c r="AC32" s="689"/>
      <c r="AD32" s="689"/>
      <c r="AE32" s="689"/>
      <c r="AF32" s="689"/>
      <c r="AG32" s="689"/>
      <c r="AH32" s="689"/>
      <c r="AI32" s="689"/>
      <c r="AJ32" s="689"/>
      <c r="AK32" s="689"/>
      <c r="AL32" s="689"/>
      <c r="AM32" s="689"/>
      <c r="AN32" s="689"/>
      <c r="AO32" s="689"/>
      <c r="AP32" s="689"/>
      <c r="AQ32" s="689"/>
    </row>
    <row r="33" spans="2:43" ht="16.95" customHeight="1" x14ac:dyDescent="0.25">
      <c r="B33" s="690"/>
      <c r="C33" s="690"/>
      <c r="D33" s="690"/>
      <c r="E33" s="690"/>
      <c r="F33" s="690"/>
      <c r="G33" s="690"/>
      <c r="H33" s="690"/>
      <c r="I33" s="690"/>
      <c r="J33" s="690"/>
      <c r="K33" s="690"/>
      <c r="L33" s="690"/>
      <c r="M33" s="690"/>
      <c r="N33" s="690"/>
      <c r="O33" s="690"/>
      <c r="P33" s="690"/>
      <c r="Q33" s="690"/>
      <c r="R33" s="690"/>
      <c r="U33" s="689"/>
      <c r="V33" s="689"/>
      <c r="W33" s="689"/>
      <c r="X33" s="689"/>
      <c r="Y33" s="689"/>
      <c r="Z33" s="689"/>
      <c r="AA33" s="689"/>
      <c r="AB33" s="689"/>
      <c r="AC33" s="689"/>
      <c r="AD33" s="689"/>
      <c r="AE33" s="689"/>
      <c r="AF33" s="689"/>
      <c r="AG33" s="689"/>
      <c r="AH33" s="689"/>
      <c r="AI33" s="689"/>
      <c r="AJ33" s="689"/>
      <c r="AK33" s="689"/>
      <c r="AL33" s="689"/>
      <c r="AM33" s="689"/>
      <c r="AN33" s="689"/>
      <c r="AO33" s="689"/>
      <c r="AP33" s="689"/>
      <c r="AQ33" s="689"/>
    </row>
    <row r="34" spans="2:43" ht="16.95" customHeight="1" x14ac:dyDescent="0.25">
      <c r="B34" s="690"/>
      <c r="C34" s="690"/>
      <c r="D34" s="690"/>
      <c r="E34" s="690"/>
      <c r="F34" s="690"/>
      <c r="G34" s="690"/>
      <c r="H34" s="690"/>
      <c r="I34" s="690"/>
      <c r="J34" s="690"/>
      <c r="K34" s="690"/>
      <c r="L34" s="690"/>
      <c r="M34" s="690"/>
      <c r="N34" s="690"/>
      <c r="O34" s="690"/>
      <c r="P34" s="690"/>
      <c r="Q34" s="690"/>
      <c r="R34" s="690"/>
      <c r="U34" s="689"/>
      <c r="V34" s="689"/>
      <c r="W34" s="689"/>
      <c r="X34" s="689"/>
      <c r="Y34" s="689"/>
      <c r="Z34" s="689"/>
      <c r="AA34" s="689"/>
      <c r="AB34" s="689"/>
      <c r="AC34" s="689"/>
      <c r="AD34" s="689"/>
      <c r="AE34" s="689"/>
      <c r="AF34" s="689"/>
      <c r="AG34" s="689"/>
      <c r="AH34" s="689"/>
      <c r="AI34" s="689"/>
      <c r="AJ34" s="689"/>
      <c r="AK34" s="689"/>
      <c r="AL34" s="689"/>
      <c r="AM34" s="689"/>
      <c r="AN34" s="689"/>
      <c r="AO34" s="689"/>
      <c r="AP34" s="689"/>
      <c r="AQ34" s="689"/>
    </row>
    <row r="35" spans="2:43" ht="16.95" customHeight="1" x14ac:dyDescent="0.25">
      <c r="B35" s="690"/>
      <c r="C35" s="690"/>
      <c r="D35" s="690"/>
      <c r="E35" s="690"/>
      <c r="F35" s="690"/>
      <c r="G35" s="690"/>
      <c r="H35" s="690"/>
      <c r="I35" s="690"/>
      <c r="J35" s="690"/>
      <c r="K35" s="690"/>
      <c r="L35" s="690"/>
      <c r="M35" s="690"/>
      <c r="N35" s="690"/>
      <c r="O35" s="690"/>
      <c r="P35" s="690"/>
      <c r="Q35" s="690"/>
      <c r="R35" s="690"/>
      <c r="U35" s="689"/>
      <c r="V35" s="689"/>
      <c r="W35" s="689"/>
      <c r="X35" s="689"/>
      <c r="Y35" s="689"/>
      <c r="Z35" s="689"/>
      <c r="AA35" s="689"/>
      <c r="AB35" s="689"/>
      <c r="AC35" s="689"/>
      <c r="AD35" s="689"/>
      <c r="AE35" s="689"/>
      <c r="AF35" s="689"/>
      <c r="AG35" s="689"/>
      <c r="AH35" s="689"/>
      <c r="AI35" s="689"/>
      <c r="AJ35" s="689"/>
      <c r="AK35" s="689"/>
      <c r="AL35" s="689"/>
      <c r="AM35" s="689"/>
      <c r="AN35" s="689"/>
      <c r="AO35" s="689"/>
      <c r="AP35" s="689"/>
      <c r="AQ35" s="689"/>
    </row>
    <row r="36" spans="2:43" ht="16.95" customHeight="1" x14ac:dyDescent="0.25">
      <c r="B36" s="690"/>
      <c r="C36" s="690"/>
      <c r="D36" s="690"/>
      <c r="E36" s="690"/>
      <c r="F36" s="690"/>
      <c r="G36" s="690"/>
      <c r="H36" s="690"/>
      <c r="I36" s="690"/>
      <c r="J36" s="690"/>
      <c r="K36" s="690"/>
      <c r="L36" s="690"/>
      <c r="M36" s="690"/>
      <c r="N36" s="690"/>
      <c r="O36" s="690"/>
      <c r="P36" s="690"/>
      <c r="Q36" s="690"/>
      <c r="R36" s="690"/>
      <c r="U36" s="689"/>
      <c r="V36" s="689"/>
      <c r="W36" s="689"/>
      <c r="X36" s="689"/>
      <c r="Y36" s="689"/>
      <c r="Z36" s="689"/>
      <c r="AA36" s="689"/>
      <c r="AB36" s="689"/>
      <c r="AC36" s="689"/>
      <c r="AD36" s="689"/>
      <c r="AE36" s="689"/>
      <c r="AF36" s="689"/>
      <c r="AG36" s="689"/>
      <c r="AH36" s="689"/>
      <c r="AI36" s="689"/>
      <c r="AJ36" s="689"/>
      <c r="AK36" s="689"/>
      <c r="AL36" s="689"/>
      <c r="AM36" s="689"/>
      <c r="AN36" s="689"/>
      <c r="AO36" s="689"/>
      <c r="AP36" s="689"/>
      <c r="AQ36" s="689"/>
    </row>
    <row r="37" spans="2:43" ht="16.95" customHeight="1" x14ac:dyDescent="0.25">
      <c r="B37" s="690"/>
      <c r="C37" s="690"/>
      <c r="D37" s="690"/>
      <c r="E37" s="690"/>
      <c r="F37" s="690"/>
      <c r="G37" s="690"/>
      <c r="H37" s="690"/>
      <c r="I37" s="690"/>
      <c r="J37" s="690"/>
      <c r="K37" s="690"/>
      <c r="L37" s="690"/>
      <c r="M37" s="690"/>
      <c r="N37" s="690"/>
      <c r="O37" s="690"/>
      <c r="P37" s="690"/>
      <c r="Q37" s="690"/>
      <c r="R37" s="690"/>
      <c r="U37" s="689"/>
      <c r="V37" s="689"/>
      <c r="W37" s="689"/>
      <c r="X37" s="689"/>
      <c r="Y37" s="689"/>
      <c r="Z37" s="689"/>
      <c r="AA37" s="689"/>
      <c r="AB37" s="689"/>
      <c r="AC37" s="689"/>
      <c r="AD37" s="689"/>
      <c r="AE37" s="689"/>
      <c r="AF37" s="689"/>
      <c r="AG37" s="689"/>
      <c r="AH37" s="689"/>
      <c r="AI37" s="689"/>
      <c r="AJ37" s="689"/>
      <c r="AK37" s="689"/>
      <c r="AL37" s="689"/>
      <c r="AM37" s="689"/>
      <c r="AN37" s="689"/>
      <c r="AO37" s="689"/>
      <c r="AP37" s="689"/>
      <c r="AQ37" s="689"/>
    </row>
    <row r="38" spans="2:43" ht="16.95" customHeight="1" x14ac:dyDescent="0.25">
      <c r="B38" s="690"/>
      <c r="C38" s="690"/>
      <c r="D38" s="690"/>
      <c r="E38" s="690"/>
      <c r="F38" s="690"/>
      <c r="G38" s="690"/>
      <c r="H38" s="690"/>
      <c r="I38" s="690"/>
      <c r="J38" s="690"/>
      <c r="K38" s="690"/>
      <c r="L38" s="690"/>
      <c r="M38" s="690"/>
      <c r="N38" s="690"/>
      <c r="O38" s="690"/>
      <c r="P38" s="690"/>
      <c r="Q38" s="690"/>
      <c r="R38" s="690"/>
      <c r="U38" s="689"/>
      <c r="V38" s="689"/>
      <c r="W38" s="689"/>
      <c r="X38" s="689"/>
      <c r="Y38" s="689"/>
      <c r="Z38" s="689"/>
      <c r="AA38" s="689"/>
      <c r="AB38" s="689"/>
      <c r="AC38" s="689"/>
      <c r="AD38" s="689"/>
      <c r="AE38" s="689"/>
      <c r="AF38" s="689"/>
      <c r="AG38" s="689"/>
      <c r="AH38" s="689"/>
      <c r="AI38" s="689"/>
      <c r="AJ38" s="689"/>
      <c r="AK38" s="689"/>
      <c r="AL38" s="689"/>
      <c r="AM38" s="689"/>
      <c r="AN38" s="689"/>
      <c r="AO38" s="689"/>
      <c r="AP38" s="689"/>
      <c r="AQ38" s="689"/>
    </row>
    <row r="39" spans="2:43" ht="16.95" customHeight="1" x14ac:dyDescent="0.25">
      <c r="B39" s="690"/>
      <c r="C39" s="690"/>
      <c r="D39" s="690"/>
      <c r="E39" s="690"/>
      <c r="F39" s="690"/>
      <c r="G39" s="690"/>
      <c r="H39" s="690"/>
      <c r="I39" s="690"/>
      <c r="J39" s="690"/>
      <c r="K39" s="690"/>
      <c r="L39" s="690"/>
      <c r="M39" s="690"/>
      <c r="N39" s="690"/>
      <c r="O39" s="690"/>
      <c r="P39" s="690"/>
      <c r="Q39" s="690"/>
      <c r="R39" s="690"/>
      <c r="U39" s="689"/>
      <c r="V39" s="689"/>
      <c r="W39" s="689"/>
      <c r="X39" s="689"/>
      <c r="Y39" s="689"/>
      <c r="Z39" s="689"/>
      <c r="AA39" s="689"/>
      <c r="AB39" s="689"/>
      <c r="AC39" s="689"/>
      <c r="AD39" s="689"/>
      <c r="AE39" s="689"/>
      <c r="AF39" s="689"/>
      <c r="AG39" s="689"/>
      <c r="AH39" s="689"/>
      <c r="AI39" s="689"/>
      <c r="AJ39" s="689"/>
      <c r="AK39" s="689"/>
      <c r="AL39" s="689"/>
      <c r="AM39" s="689"/>
      <c r="AN39" s="689"/>
      <c r="AO39" s="689"/>
      <c r="AP39" s="689"/>
      <c r="AQ39" s="689"/>
    </row>
    <row r="40" spans="2:43" ht="16.95" customHeight="1" x14ac:dyDescent="0.25">
      <c r="B40" s="690"/>
      <c r="C40" s="690"/>
      <c r="D40" s="690"/>
      <c r="E40" s="690"/>
      <c r="F40" s="690"/>
      <c r="G40" s="690"/>
      <c r="H40" s="690"/>
      <c r="I40" s="690"/>
      <c r="J40" s="690"/>
      <c r="K40" s="690"/>
      <c r="L40" s="690"/>
      <c r="M40" s="690"/>
      <c r="N40" s="690"/>
      <c r="O40" s="690"/>
      <c r="P40" s="690"/>
      <c r="Q40" s="690"/>
      <c r="R40" s="690"/>
      <c r="U40" s="689"/>
      <c r="V40" s="689"/>
      <c r="W40" s="689"/>
      <c r="X40" s="689"/>
      <c r="Y40" s="689"/>
      <c r="Z40" s="689"/>
      <c r="AA40" s="689"/>
      <c r="AB40" s="689"/>
      <c r="AC40" s="689"/>
      <c r="AD40" s="689"/>
      <c r="AE40" s="689"/>
      <c r="AF40" s="689"/>
      <c r="AG40" s="689"/>
      <c r="AH40" s="689"/>
      <c r="AI40" s="689"/>
      <c r="AJ40" s="689"/>
      <c r="AK40" s="689"/>
      <c r="AL40" s="689"/>
      <c r="AM40" s="689"/>
      <c r="AN40" s="689"/>
      <c r="AO40" s="689"/>
      <c r="AP40" s="689"/>
      <c r="AQ40" s="689"/>
    </row>
    <row r="41" spans="2:43" ht="16.95" customHeight="1" x14ac:dyDescent="0.25">
      <c r="B41" s="690"/>
      <c r="C41" s="690"/>
      <c r="D41" s="690"/>
      <c r="E41" s="690"/>
      <c r="F41" s="690"/>
      <c r="G41" s="690"/>
      <c r="H41" s="690"/>
      <c r="I41" s="690"/>
      <c r="J41" s="690"/>
      <c r="K41" s="690"/>
      <c r="L41" s="690"/>
      <c r="M41" s="690"/>
      <c r="N41" s="690"/>
      <c r="O41" s="690"/>
      <c r="P41" s="690"/>
      <c r="Q41" s="690"/>
      <c r="R41" s="690"/>
      <c r="U41" s="689"/>
      <c r="V41" s="689"/>
      <c r="W41" s="689"/>
      <c r="X41" s="689"/>
      <c r="Y41" s="689"/>
      <c r="Z41" s="689"/>
      <c r="AA41" s="689"/>
      <c r="AB41" s="689"/>
      <c r="AC41" s="689"/>
      <c r="AD41" s="689"/>
      <c r="AE41" s="689"/>
      <c r="AF41" s="689"/>
      <c r="AG41" s="689"/>
      <c r="AH41" s="689"/>
      <c r="AI41" s="689"/>
      <c r="AJ41" s="689"/>
      <c r="AK41" s="689"/>
      <c r="AL41" s="689"/>
      <c r="AM41" s="689"/>
      <c r="AN41" s="689"/>
      <c r="AO41" s="689"/>
      <c r="AP41" s="689"/>
      <c r="AQ41" s="689"/>
    </row>
    <row r="42" spans="2:43" ht="16.95" customHeight="1" x14ac:dyDescent="0.25">
      <c r="B42" s="690"/>
      <c r="C42" s="690"/>
      <c r="D42" s="690"/>
      <c r="E42" s="690"/>
      <c r="F42" s="690"/>
      <c r="G42" s="690"/>
      <c r="H42" s="690"/>
      <c r="I42" s="690"/>
      <c r="J42" s="690"/>
      <c r="K42" s="690"/>
      <c r="L42" s="690"/>
      <c r="M42" s="690"/>
      <c r="N42" s="690"/>
      <c r="O42" s="690"/>
      <c r="P42" s="690"/>
      <c r="Q42" s="690"/>
      <c r="R42" s="690"/>
      <c r="U42" s="689"/>
      <c r="V42" s="689"/>
      <c r="W42" s="689"/>
      <c r="X42" s="689"/>
      <c r="Y42" s="689"/>
      <c r="Z42" s="689"/>
      <c r="AA42" s="689"/>
      <c r="AB42" s="689"/>
      <c r="AC42" s="689"/>
      <c r="AD42" s="689"/>
      <c r="AE42" s="689"/>
      <c r="AF42" s="689"/>
      <c r="AG42" s="689"/>
      <c r="AH42" s="689"/>
      <c r="AI42" s="689"/>
      <c r="AJ42" s="689"/>
      <c r="AK42" s="689"/>
      <c r="AL42" s="689"/>
      <c r="AM42" s="689"/>
      <c r="AN42" s="689"/>
      <c r="AO42" s="689"/>
      <c r="AP42" s="689"/>
      <c r="AQ42" s="689"/>
    </row>
    <row r="43" spans="2:43" ht="16.95" customHeight="1" x14ac:dyDescent="0.25">
      <c r="B43" s="690"/>
      <c r="C43" s="690"/>
      <c r="D43" s="690"/>
      <c r="E43" s="690"/>
      <c r="F43" s="690"/>
      <c r="G43" s="690"/>
      <c r="H43" s="690"/>
      <c r="I43" s="690"/>
      <c r="J43" s="690"/>
      <c r="K43" s="690"/>
      <c r="L43" s="690"/>
      <c r="M43" s="690"/>
      <c r="N43" s="690"/>
      <c r="O43" s="690"/>
      <c r="P43" s="690"/>
      <c r="Q43" s="690"/>
      <c r="R43" s="690"/>
      <c r="U43" s="689"/>
      <c r="V43" s="689"/>
      <c r="W43" s="689"/>
      <c r="X43" s="689"/>
      <c r="Y43" s="689"/>
      <c r="Z43" s="689"/>
      <c r="AA43" s="689"/>
      <c r="AB43" s="689"/>
      <c r="AC43" s="689"/>
      <c r="AD43" s="689"/>
      <c r="AE43" s="689"/>
      <c r="AF43" s="689"/>
      <c r="AG43" s="689"/>
      <c r="AH43" s="689"/>
      <c r="AI43" s="689"/>
      <c r="AJ43" s="689"/>
      <c r="AK43" s="689"/>
      <c r="AL43" s="689"/>
      <c r="AM43" s="689"/>
      <c r="AN43" s="689"/>
      <c r="AO43" s="689"/>
      <c r="AP43" s="689"/>
      <c r="AQ43" s="689"/>
    </row>
    <row r="44" spans="2:43" ht="16.95" customHeight="1" x14ac:dyDescent="0.25">
      <c r="B44" s="690"/>
      <c r="C44" s="690"/>
      <c r="D44" s="690"/>
      <c r="E44" s="690"/>
      <c r="F44" s="690"/>
      <c r="G44" s="690"/>
      <c r="H44" s="690"/>
      <c r="I44" s="690"/>
      <c r="J44" s="690"/>
      <c r="K44" s="690"/>
      <c r="L44" s="690"/>
      <c r="M44" s="690"/>
      <c r="N44" s="690"/>
      <c r="O44" s="690"/>
      <c r="P44" s="690"/>
      <c r="Q44" s="690"/>
      <c r="R44" s="690"/>
      <c r="U44" s="689"/>
      <c r="V44" s="689"/>
      <c r="W44" s="689"/>
      <c r="X44" s="689"/>
      <c r="Y44" s="689"/>
      <c r="Z44" s="689"/>
      <c r="AA44" s="689"/>
      <c r="AB44" s="689"/>
      <c r="AC44" s="689"/>
      <c r="AD44" s="689"/>
      <c r="AE44" s="689"/>
      <c r="AF44" s="689"/>
      <c r="AG44" s="689"/>
      <c r="AH44" s="689"/>
      <c r="AI44" s="689"/>
      <c r="AJ44" s="689"/>
      <c r="AK44" s="689"/>
      <c r="AL44" s="689"/>
      <c r="AM44" s="689"/>
      <c r="AN44" s="689"/>
      <c r="AO44" s="689"/>
      <c r="AP44" s="689"/>
      <c r="AQ44" s="689"/>
    </row>
    <row r="45" spans="2:43" ht="16.95" customHeight="1" x14ac:dyDescent="0.25">
      <c r="B45" s="690"/>
      <c r="C45" s="690"/>
      <c r="D45" s="690"/>
      <c r="E45" s="690"/>
      <c r="F45" s="690"/>
      <c r="G45" s="690"/>
      <c r="H45" s="690"/>
      <c r="I45" s="690"/>
      <c r="J45" s="690"/>
      <c r="K45" s="690"/>
      <c r="L45" s="690"/>
      <c r="M45" s="690"/>
      <c r="N45" s="690"/>
      <c r="O45" s="690"/>
      <c r="P45" s="690"/>
      <c r="Q45" s="690"/>
      <c r="R45" s="690"/>
      <c r="U45" s="689"/>
      <c r="V45" s="689"/>
      <c r="W45" s="689"/>
      <c r="X45" s="689"/>
      <c r="Y45" s="689"/>
      <c r="Z45" s="689"/>
      <c r="AA45" s="689"/>
      <c r="AB45" s="689"/>
      <c r="AC45" s="689"/>
      <c r="AD45" s="689"/>
      <c r="AE45" s="689"/>
      <c r="AF45" s="689"/>
      <c r="AG45" s="689"/>
      <c r="AH45" s="689"/>
      <c r="AI45" s="689"/>
      <c r="AJ45" s="689"/>
      <c r="AK45" s="689"/>
      <c r="AL45" s="689"/>
      <c r="AM45" s="689"/>
      <c r="AN45" s="689"/>
      <c r="AO45" s="689"/>
      <c r="AP45" s="689"/>
      <c r="AQ45" s="689"/>
    </row>
    <row r="46" spans="2:43" ht="16.95" customHeight="1" x14ac:dyDescent="0.25">
      <c r="B46" s="690"/>
      <c r="C46" s="690"/>
      <c r="D46" s="690"/>
      <c r="E46" s="690"/>
      <c r="F46" s="690"/>
      <c r="G46" s="690"/>
      <c r="H46" s="690"/>
      <c r="I46" s="690"/>
      <c r="J46" s="690"/>
      <c r="K46" s="690"/>
      <c r="L46" s="690"/>
      <c r="M46" s="690"/>
      <c r="N46" s="690"/>
      <c r="O46" s="690"/>
      <c r="P46" s="690"/>
      <c r="Q46" s="690"/>
      <c r="R46" s="690"/>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row>
    <row r="47" spans="2:43" ht="16.95" customHeight="1" x14ac:dyDescent="0.25">
      <c r="B47" s="690"/>
      <c r="C47" s="690"/>
      <c r="D47" s="690"/>
      <c r="E47" s="690"/>
      <c r="F47" s="690"/>
      <c r="G47" s="690"/>
      <c r="H47" s="690"/>
      <c r="I47" s="690"/>
      <c r="J47" s="690"/>
      <c r="K47" s="690"/>
      <c r="L47" s="690"/>
      <c r="M47" s="690"/>
      <c r="N47" s="690"/>
      <c r="O47" s="690"/>
      <c r="P47" s="690"/>
      <c r="Q47" s="690"/>
      <c r="R47" s="690"/>
      <c r="U47" s="689"/>
      <c r="V47" s="689"/>
      <c r="W47" s="689"/>
      <c r="X47" s="689"/>
      <c r="Y47" s="689"/>
      <c r="Z47" s="689"/>
      <c r="AA47" s="689"/>
      <c r="AB47" s="689"/>
      <c r="AC47" s="689"/>
      <c r="AD47" s="689"/>
      <c r="AE47" s="689"/>
      <c r="AF47" s="689"/>
      <c r="AG47" s="689"/>
      <c r="AH47" s="689"/>
      <c r="AI47" s="689"/>
      <c r="AJ47" s="689"/>
      <c r="AK47" s="689"/>
      <c r="AL47" s="689"/>
      <c r="AM47" s="689"/>
      <c r="AN47" s="689"/>
      <c r="AO47" s="689"/>
      <c r="AP47" s="689"/>
      <c r="AQ47" s="689"/>
    </row>
    <row r="48" spans="2:43" ht="16.95" customHeight="1" x14ac:dyDescent="0.25">
      <c r="B48" s="690"/>
      <c r="C48" s="690"/>
      <c r="D48" s="690"/>
      <c r="E48" s="690"/>
      <c r="F48" s="690"/>
      <c r="G48" s="690"/>
      <c r="H48" s="690"/>
      <c r="I48" s="690"/>
      <c r="J48" s="690"/>
      <c r="K48" s="690"/>
      <c r="L48" s="690"/>
      <c r="M48" s="690"/>
      <c r="N48" s="690"/>
      <c r="O48" s="690"/>
      <c r="P48" s="690"/>
      <c r="Q48" s="690"/>
      <c r="R48" s="690"/>
    </row>
    <row r="49" ht="16.95" customHeight="1" x14ac:dyDescent="0.25"/>
    <row r="50" ht="16.95" customHeight="1" x14ac:dyDescent="0.25"/>
    <row r="51" ht="16.95" customHeight="1" x14ac:dyDescent="0.25"/>
    <row r="52" ht="16.95" customHeight="1" x14ac:dyDescent="0.25"/>
  </sheetData>
  <sheetProtection sheet="1" selectLockedCells="1"/>
  <mergeCells count="159">
    <mergeCell ref="A1:AR1"/>
    <mergeCell ref="AT1:CJ1"/>
    <mergeCell ref="AH2:AI2"/>
    <mergeCell ref="AK2:AL2"/>
    <mergeCell ref="AM2:AN2"/>
    <mergeCell ref="AP2:AQ2"/>
    <mergeCell ref="B3:D3"/>
    <mergeCell ref="E3:R3"/>
    <mergeCell ref="U3:V3"/>
    <mergeCell ref="W3:Y3"/>
    <mergeCell ref="Z3:AA3"/>
    <mergeCell ref="AB3:AC3"/>
    <mergeCell ref="AF3:AG3"/>
    <mergeCell ref="AH3:AI3"/>
    <mergeCell ref="AK3:AL3"/>
    <mergeCell ref="AM3:AN3"/>
    <mergeCell ref="AP3:AQ3"/>
    <mergeCell ref="AU3:AW3"/>
    <mergeCell ref="AX3:BB3"/>
    <mergeCell ref="BD3:BF3"/>
    <mergeCell ref="BG3:BK3"/>
    <mergeCell ref="BM3:BN3"/>
    <mergeCell ref="BO3:BQ3"/>
    <mergeCell ref="BS3:BU3"/>
    <mergeCell ref="BW3:BX3"/>
    <mergeCell ref="BY3:CA3"/>
    <mergeCell ref="CB3:CC3"/>
    <mergeCell ref="CD3:CE3"/>
    <mergeCell ref="B4:D4"/>
    <mergeCell ref="E4:R4"/>
    <mergeCell ref="U4:V4"/>
    <mergeCell ref="W4:AC4"/>
    <mergeCell ref="AF4:AG4"/>
    <mergeCell ref="AH4:AI4"/>
    <mergeCell ref="AK4:AL4"/>
    <mergeCell ref="AM4:AN4"/>
    <mergeCell ref="AP4:AQ4"/>
    <mergeCell ref="AU4:AW4"/>
    <mergeCell ref="AX4:BB4"/>
    <mergeCell ref="BD4:BF4"/>
    <mergeCell ref="BG4:BK4"/>
    <mergeCell ref="BM4:BN4"/>
    <mergeCell ref="BO4:BP4"/>
    <mergeCell ref="BR4:BS4"/>
    <mergeCell ref="BT4:BU4"/>
    <mergeCell ref="BW4:BX4"/>
    <mergeCell ref="BY4:CE4"/>
    <mergeCell ref="BC8:BD8"/>
    <mergeCell ref="BF8:BG8"/>
    <mergeCell ref="BH8:BY8"/>
    <mergeCell ref="B5:D5"/>
    <mergeCell ref="E5:R5"/>
    <mergeCell ref="AF5:AG5"/>
    <mergeCell ref="AH5:AI5"/>
    <mergeCell ref="AK5:AL5"/>
    <mergeCell ref="AM5:AN5"/>
    <mergeCell ref="AP5:AQ5"/>
    <mergeCell ref="AU5:AW5"/>
    <mergeCell ref="AX5:BB5"/>
    <mergeCell ref="BD5:BF5"/>
    <mergeCell ref="BG5:BK5"/>
    <mergeCell ref="BM5:BP5"/>
    <mergeCell ref="BQ5:BU5"/>
    <mergeCell ref="U6:V6"/>
    <mergeCell ref="W6:Y6"/>
    <mergeCell ref="AA6:AC6"/>
    <mergeCell ref="AF6:AG6"/>
    <mergeCell ref="AH6:AI6"/>
    <mergeCell ref="AK6:AL6"/>
    <mergeCell ref="AM6:AN6"/>
    <mergeCell ref="AP6:AQ6"/>
    <mergeCell ref="AX6:AY6"/>
    <mergeCell ref="BA6:BB6"/>
    <mergeCell ref="BC6:BD6"/>
    <mergeCell ref="CA6:CI6"/>
    <mergeCell ref="B7:D7"/>
    <mergeCell ref="E7:I7"/>
    <mergeCell ref="K7:M7"/>
    <mergeCell ref="N7:R7"/>
    <mergeCell ref="U7:V7"/>
    <mergeCell ref="W7:X7"/>
    <mergeCell ref="Z7:AA7"/>
    <mergeCell ref="AB7:AC7"/>
    <mergeCell ref="AF7:AG7"/>
    <mergeCell ref="AH7:AI7"/>
    <mergeCell ref="AK7:AL7"/>
    <mergeCell ref="AM7:AN7"/>
    <mergeCell ref="AP7:AQ7"/>
    <mergeCell ref="AV7:AW7"/>
    <mergeCell ref="AX7:AY7"/>
    <mergeCell ref="BA7:BB7"/>
    <mergeCell ref="BC7:BD7"/>
    <mergeCell ref="BH9:BY9"/>
    <mergeCell ref="B8:D8"/>
    <mergeCell ref="E8:I8"/>
    <mergeCell ref="K8:M8"/>
    <mergeCell ref="N8:R8"/>
    <mergeCell ref="U8:X8"/>
    <mergeCell ref="Y8:AC8"/>
    <mergeCell ref="AF8:AG8"/>
    <mergeCell ref="AH8:AI8"/>
    <mergeCell ref="AK8:AL8"/>
    <mergeCell ref="B9:D9"/>
    <mergeCell ref="E9:I9"/>
    <mergeCell ref="K9:M9"/>
    <mergeCell ref="N9:R9"/>
    <mergeCell ref="AV9:AW9"/>
    <mergeCell ref="AX9:AY9"/>
    <mergeCell ref="BA9:BB9"/>
    <mergeCell ref="BC9:BD9"/>
    <mergeCell ref="BF9:BG9"/>
    <mergeCell ref="AM8:AN8"/>
    <mergeCell ref="AP8:AQ8"/>
    <mergeCell ref="AV8:AW8"/>
    <mergeCell ref="AX8:AY8"/>
    <mergeCell ref="BA8:BB8"/>
    <mergeCell ref="B11:R11"/>
    <mergeCell ref="U11:V11"/>
    <mergeCell ref="W11:AQ11"/>
    <mergeCell ref="AV11:AW11"/>
    <mergeCell ref="AX11:AY11"/>
    <mergeCell ref="BA11:BB11"/>
    <mergeCell ref="BC11:BD11"/>
    <mergeCell ref="BF11:BG11"/>
    <mergeCell ref="BH11:BY11"/>
    <mergeCell ref="CH3:CJ4"/>
    <mergeCell ref="CF3:CG4"/>
    <mergeCell ref="CA7:CI12"/>
    <mergeCell ref="U16:AQ30"/>
    <mergeCell ref="U12:V12"/>
    <mergeCell ref="W12:AQ12"/>
    <mergeCell ref="AV12:AW12"/>
    <mergeCell ref="AX12:AY12"/>
    <mergeCell ref="BA12:BB12"/>
    <mergeCell ref="BC12:BD12"/>
    <mergeCell ref="BF12:BG12"/>
    <mergeCell ref="BH12:BY12"/>
    <mergeCell ref="U13:V13"/>
    <mergeCell ref="W13:AQ13"/>
    <mergeCell ref="AU13:BN13"/>
    <mergeCell ref="BP13:CI13"/>
    <mergeCell ref="U10:V10"/>
    <mergeCell ref="W10:AQ10"/>
    <mergeCell ref="AV10:AW10"/>
    <mergeCell ref="AX10:AY10"/>
    <mergeCell ref="BA10:BB10"/>
    <mergeCell ref="BC10:BD10"/>
    <mergeCell ref="BF10:BG10"/>
    <mergeCell ref="BH10:BY10"/>
    <mergeCell ref="U32:AQ47"/>
    <mergeCell ref="B24:R48"/>
    <mergeCell ref="AU14:BN29"/>
    <mergeCell ref="BP14:CI29"/>
    <mergeCell ref="B12:R22"/>
    <mergeCell ref="U14:V14"/>
    <mergeCell ref="W14:AQ14"/>
    <mergeCell ref="U15:AQ15"/>
    <mergeCell ref="B23:R23"/>
    <mergeCell ref="U31:AQ31"/>
  </mergeCells>
  <phoneticPr fontId="86" type="noConversion"/>
  <dataValidations count="3">
    <dataValidation type="list" allowBlank="1" showInputMessage="1" sqref="BG5:BK5 N9:R9" xr:uid="{00000000-0002-0000-0900-000001000000}">
      <formula1>"异怪,野兽,天界,构装,龙类,元素,精类,邪魔,巨人,类人,怪兽,泥怪,植物,不死"</formula1>
    </dataValidation>
    <dataValidation type="list" allowBlank="1" showInputMessage="1" sqref="E7:I7" xr:uid="{00000000-0002-0000-0900-000002000000}">
      <formula1>"无,野蛮人,吟游诗人,牧师,德鲁伊,战士,武僧,圣武士,游侠,游荡者,术士,魔契师,法师,施法者,武者,专家"</formula1>
    </dataValidation>
    <dataValidation type="list" allowBlank="1" showInputMessage="1" showErrorMessage="1" sqref="AE3:AE8 AU7:AU12" xr:uid="{00000000-0002-0000-0900-000003000000}">
      <formula1>"X,O"</formula1>
    </dataValidation>
  </dataValidations>
  <pageMargins left="0.75" right="0.75" top="1" bottom="1" header="0.51180555555555596" footer="0.5118055555555559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数据表!$CI$2:$CI$35</xm:f>
          </x14:formula1>
          <xm:sqref>CD3:CE3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5" tint="-0.499984740745262"/>
  </sheetPr>
  <dimension ref="A1:CO58"/>
  <sheetViews>
    <sheetView zoomScale="85" zoomScaleNormal="85" workbookViewId="0">
      <selection activeCell="I3" sqref="I3:N5"/>
    </sheetView>
  </sheetViews>
  <sheetFormatPr defaultColWidth="2.44140625" defaultRowHeight="17.100000000000001" customHeight="1" x14ac:dyDescent="0.25"/>
  <cols>
    <col min="1" max="1" width="2.44140625" style="110"/>
    <col min="2" max="2" width="3.88671875" style="110" customWidth="1"/>
    <col min="3" max="24" width="2.44140625" style="110"/>
    <col min="25" max="25" width="3.109375" style="110" customWidth="1"/>
    <col min="26" max="47" width="2.44140625" style="110"/>
    <col min="48" max="48" width="3.88671875" style="110" customWidth="1"/>
    <col min="49" max="70" width="2.44140625" style="110"/>
    <col min="71" max="71" width="3.109375" style="110" customWidth="1"/>
    <col min="72" max="16384" width="2.44140625" style="110"/>
  </cols>
  <sheetData>
    <row r="1" spans="1:93" ht="17.100000000000001" customHeight="1" x14ac:dyDescent="0.25">
      <c r="A1" s="750" t="s">
        <v>2253</v>
      </c>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0"/>
      <c r="BD1" s="750"/>
      <c r="BE1" s="750"/>
      <c r="BF1" s="750"/>
      <c r="BG1" s="750"/>
      <c r="BH1" s="750"/>
      <c r="BI1" s="750"/>
      <c r="BJ1" s="750"/>
      <c r="BK1" s="750"/>
      <c r="BL1" s="750"/>
      <c r="BM1" s="750"/>
      <c r="BN1" s="750"/>
      <c r="BO1" s="750"/>
      <c r="BP1" s="750"/>
      <c r="BQ1" s="750"/>
      <c r="BR1" s="750"/>
      <c r="BS1" s="750"/>
      <c r="BT1" s="750"/>
      <c r="BU1" s="750"/>
      <c r="BV1" s="750"/>
      <c r="BW1" s="750"/>
      <c r="BX1" s="750"/>
      <c r="BY1" s="750"/>
      <c r="BZ1" s="750"/>
      <c r="CA1" s="750"/>
      <c r="CB1" s="750"/>
      <c r="CC1" s="750"/>
      <c r="CD1" s="750"/>
      <c r="CE1" s="750"/>
      <c r="CF1" s="750"/>
      <c r="CG1" s="750"/>
      <c r="CH1" s="750"/>
      <c r="CI1" s="750"/>
      <c r="CJ1" s="750"/>
      <c r="CK1" s="750"/>
      <c r="CL1" s="750"/>
      <c r="CM1" s="750"/>
      <c r="CN1" s="750"/>
      <c r="CO1" s="750"/>
    </row>
    <row r="2" spans="1:93" ht="17.100000000000001" customHeight="1" x14ac:dyDescent="0.35">
      <c r="B2" s="111"/>
      <c r="C2" s="744" t="s">
        <v>2254</v>
      </c>
      <c r="D2" s="744"/>
      <c r="E2" s="744"/>
      <c r="F2" s="744"/>
      <c r="G2" s="744"/>
      <c r="H2" s="744"/>
      <c r="I2" s="744" t="s">
        <v>2255</v>
      </c>
      <c r="J2" s="744"/>
      <c r="K2" s="744"/>
      <c r="L2" s="744"/>
      <c r="M2" s="744"/>
      <c r="N2" s="744"/>
      <c r="O2" s="744" t="s">
        <v>2256</v>
      </c>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744"/>
      <c r="AO2" s="744"/>
      <c r="AP2" s="744"/>
      <c r="AQ2" s="744"/>
      <c r="AR2" s="744"/>
      <c r="AS2" s="744"/>
      <c r="AT2" s="744"/>
    </row>
    <row r="3" spans="1:93" ht="17.100000000000001" customHeight="1" x14ac:dyDescent="0.25">
      <c r="B3" s="752">
        <v>1</v>
      </c>
      <c r="C3" s="720" t="s">
        <v>2257</v>
      </c>
      <c r="D3" s="720"/>
      <c r="E3" s="720"/>
      <c r="F3" s="720"/>
      <c r="G3" s="720"/>
      <c r="H3" s="720"/>
      <c r="I3" s="720"/>
      <c r="J3" s="720"/>
      <c r="K3" s="720"/>
      <c r="L3" s="720"/>
      <c r="M3" s="720"/>
      <c r="N3" s="720"/>
      <c r="O3" s="753"/>
      <c r="P3" s="753"/>
      <c r="Q3" s="753"/>
      <c r="R3" s="753"/>
      <c r="S3" s="753"/>
      <c r="T3" s="753"/>
      <c r="U3" s="753"/>
      <c r="V3" s="753"/>
      <c r="W3" s="753"/>
      <c r="X3" s="753"/>
      <c r="Y3" s="753"/>
      <c r="Z3" s="753"/>
      <c r="AA3" s="753"/>
      <c r="AB3" s="753"/>
      <c r="AC3" s="753"/>
      <c r="AD3" s="753"/>
      <c r="AE3" s="753"/>
      <c r="AF3" s="753"/>
      <c r="AG3" s="753"/>
      <c r="AH3" s="753"/>
      <c r="AI3" s="753"/>
      <c r="AJ3" s="753"/>
      <c r="AK3" s="753"/>
      <c r="AL3" s="753"/>
      <c r="AM3" s="753"/>
      <c r="AN3" s="753"/>
      <c r="AO3" s="753"/>
      <c r="AP3" s="753"/>
      <c r="AQ3" s="753"/>
      <c r="AR3" s="753"/>
      <c r="AS3" s="753"/>
      <c r="AT3" s="753"/>
      <c r="AV3" s="752">
        <v>2</v>
      </c>
      <c r="AW3" s="720" t="s">
        <v>2258</v>
      </c>
      <c r="AX3" s="720"/>
      <c r="AY3" s="720"/>
      <c r="AZ3" s="720"/>
      <c r="BA3" s="720"/>
      <c r="BB3" s="720"/>
      <c r="BC3" s="720"/>
      <c r="BD3" s="720"/>
      <c r="BE3" s="720"/>
      <c r="BF3" s="720"/>
      <c r="BG3" s="720"/>
      <c r="BH3" s="720"/>
      <c r="BI3" s="753"/>
      <c r="BJ3" s="753"/>
      <c r="BK3" s="753"/>
      <c r="BL3" s="753"/>
      <c r="BM3" s="753"/>
      <c r="BN3" s="753"/>
      <c r="BO3" s="753"/>
      <c r="BP3" s="753"/>
      <c r="BQ3" s="753"/>
      <c r="BR3" s="753"/>
      <c r="BS3" s="753"/>
      <c r="BT3" s="753"/>
      <c r="BU3" s="753"/>
      <c r="BV3" s="753"/>
      <c r="BW3" s="753"/>
      <c r="BX3" s="753"/>
      <c r="BY3" s="753"/>
      <c r="BZ3" s="753"/>
      <c r="CA3" s="753"/>
      <c r="CB3" s="753"/>
      <c r="CC3" s="753"/>
      <c r="CD3" s="753"/>
      <c r="CE3" s="753"/>
      <c r="CF3" s="753"/>
      <c r="CG3" s="753"/>
      <c r="CH3" s="753"/>
      <c r="CI3" s="753"/>
      <c r="CJ3" s="753"/>
      <c r="CK3" s="753"/>
      <c r="CL3" s="753"/>
      <c r="CM3" s="753"/>
      <c r="CN3" s="753"/>
    </row>
    <row r="4" spans="1:93" ht="17.100000000000001" customHeight="1" x14ac:dyDescent="0.25">
      <c r="B4" s="752"/>
      <c r="C4" s="720"/>
      <c r="D4" s="720"/>
      <c r="E4" s="720"/>
      <c r="F4" s="720"/>
      <c r="G4" s="720"/>
      <c r="H4" s="720"/>
      <c r="I4" s="720"/>
      <c r="J4" s="720"/>
      <c r="K4" s="720"/>
      <c r="L4" s="720"/>
      <c r="M4" s="720"/>
      <c r="N4" s="720"/>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V4" s="752"/>
      <c r="AW4" s="720"/>
      <c r="AX4" s="720"/>
      <c r="AY4" s="720"/>
      <c r="AZ4" s="720"/>
      <c r="BA4" s="720"/>
      <c r="BB4" s="720"/>
      <c r="BC4" s="720"/>
      <c r="BD4" s="720"/>
      <c r="BE4" s="720"/>
      <c r="BF4" s="720"/>
      <c r="BG4" s="720"/>
      <c r="BH4" s="720"/>
      <c r="BI4" s="753"/>
      <c r="BJ4" s="753"/>
      <c r="BK4" s="753"/>
      <c r="BL4" s="753"/>
      <c r="BM4" s="753"/>
      <c r="BN4" s="753"/>
      <c r="BO4" s="753"/>
      <c r="BP4" s="753"/>
      <c r="BQ4" s="753"/>
      <c r="BR4" s="753"/>
      <c r="BS4" s="753"/>
      <c r="BT4" s="753"/>
      <c r="BU4" s="753"/>
      <c r="BV4" s="753"/>
      <c r="BW4" s="753"/>
      <c r="BX4" s="753"/>
      <c r="BY4" s="753"/>
      <c r="BZ4" s="753"/>
      <c r="CA4" s="753"/>
      <c r="CB4" s="753"/>
      <c r="CC4" s="753"/>
      <c r="CD4" s="753"/>
      <c r="CE4" s="753"/>
      <c r="CF4" s="753"/>
      <c r="CG4" s="753"/>
      <c r="CH4" s="753"/>
      <c r="CI4" s="753"/>
      <c r="CJ4" s="753"/>
      <c r="CK4" s="753"/>
      <c r="CL4" s="753"/>
      <c r="CM4" s="753"/>
      <c r="CN4" s="753"/>
    </row>
    <row r="5" spans="1:93" ht="17.100000000000001" customHeight="1" x14ac:dyDescent="0.25">
      <c r="B5" s="752"/>
      <c r="C5" s="720"/>
      <c r="D5" s="720"/>
      <c r="E5" s="720"/>
      <c r="F5" s="720"/>
      <c r="G5" s="720"/>
      <c r="H5" s="720"/>
      <c r="I5" s="720"/>
      <c r="J5" s="720"/>
      <c r="K5" s="720"/>
      <c r="L5" s="720"/>
      <c r="M5" s="720"/>
      <c r="N5" s="720"/>
      <c r="O5" s="753"/>
      <c r="P5" s="753"/>
      <c r="Q5" s="753"/>
      <c r="R5" s="753"/>
      <c r="S5" s="753"/>
      <c r="T5" s="753"/>
      <c r="U5" s="753"/>
      <c r="V5" s="753"/>
      <c r="W5" s="753"/>
      <c r="X5" s="753"/>
      <c r="Y5" s="753"/>
      <c r="Z5" s="753"/>
      <c r="AA5" s="753"/>
      <c r="AB5" s="753"/>
      <c r="AC5" s="753"/>
      <c r="AD5" s="753"/>
      <c r="AE5" s="753"/>
      <c r="AF5" s="753"/>
      <c r="AG5" s="753"/>
      <c r="AH5" s="753"/>
      <c r="AI5" s="753"/>
      <c r="AJ5" s="753"/>
      <c r="AK5" s="753"/>
      <c r="AL5" s="753"/>
      <c r="AM5" s="753"/>
      <c r="AN5" s="753"/>
      <c r="AO5" s="753"/>
      <c r="AP5" s="753"/>
      <c r="AQ5" s="753"/>
      <c r="AR5" s="753"/>
      <c r="AS5" s="753"/>
      <c r="AT5" s="753"/>
      <c r="AV5" s="752"/>
      <c r="AW5" s="720"/>
      <c r="AX5" s="720"/>
      <c r="AY5" s="720"/>
      <c r="AZ5" s="720"/>
      <c r="BA5" s="720"/>
      <c r="BB5" s="720"/>
      <c r="BC5" s="720"/>
      <c r="BD5" s="720"/>
      <c r="BE5" s="720"/>
      <c r="BF5" s="720"/>
      <c r="BG5" s="720"/>
      <c r="BH5" s="720"/>
      <c r="BI5" s="753"/>
      <c r="BJ5" s="753"/>
      <c r="BK5" s="753"/>
      <c r="BL5" s="753"/>
      <c r="BM5" s="753"/>
      <c r="BN5" s="753"/>
      <c r="BO5" s="753"/>
      <c r="BP5" s="753"/>
      <c r="BQ5" s="753"/>
      <c r="BR5" s="753"/>
      <c r="BS5" s="753"/>
      <c r="BT5" s="753"/>
      <c r="BU5" s="753"/>
      <c r="BV5" s="753"/>
      <c r="BW5" s="753"/>
      <c r="BX5" s="753"/>
      <c r="BY5" s="753"/>
      <c r="BZ5" s="753"/>
      <c r="CA5" s="753"/>
      <c r="CB5" s="753"/>
      <c r="CC5" s="753"/>
      <c r="CD5" s="753"/>
      <c r="CE5" s="753"/>
      <c r="CF5" s="753"/>
      <c r="CG5" s="753"/>
      <c r="CH5" s="753"/>
      <c r="CI5" s="753"/>
      <c r="CJ5" s="753"/>
      <c r="CK5" s="753"/>
      <c r="CL5" s="753"/>
      <c r="CM5" s="753"/>
      <c r="CN5" s="753"/>
    </row>
    <row r="7" spans="1:93" ht="17.100000000000001" customHeight="1" x14ac:dyDescent="0.25">
      <c r="B7" s="743" t="str">
        <f>IF(C3="","",C3&amp;"的储物箱")</f>
        <v>据点1的储物箱</v>
      </c>
      <c r="C7" s="743"/>
      <c r="D7" s="743"/>
      <c r="E7" s="743"/>
      <c r="F7" s="743"/>
      <c r="G7" s="743"/>
      <c r="H7" s="743"/>
      <c r="I7" s="743"/>
      <c r="J7" s="743"/>
      <c r="K7" s="743"/>
      <c r="L7" s="743"/>
      <c r="M7" s="743"/>
      <c r="N7" s="743"/>
      <c r="O7" s="743"/>
      <c r="P7" s="743"/>
      <c r="Q7" s="743"/>
      <c r="R7" s="743"/>
      <c r="S7" s="743"/>
      <c r="T7" s="743"/>
      <c r="U7" s="743"/>
      <c r="V7" s="743"/>
      <c r="W7" s="743"/>
      <c r="Y7" s="751" t="str">
        <f>IF(C3="","",C3&amp;"的财产状况")</f>
        <v>据点1的财产状况</v>
      </c>
      <c r="Z7" s="751"/>
      <c r="AA7" s="751"/>
      <c r="AB7" s="751"/>
      <c r="AC7" s="751"/>
      <c r="AD7" s="751"/>
      <c r="AE7" s="751"/>
      <c r="AF7" s="751"/>
      <c r="AG7" s="111"/>
      <c r="AH7" s="743" t="str">
        <f>IF(C3="","",C3&amp;"的财产收入")</f>
        <v>据点1的财产收入</v>
      </c>
      <c r="AI7" s="743"/>
      <c r="AJ7" s="743"/>
      <c r="AK7" s="743"/>
      <c r="AL7" s="743"/>
      <c r="AM7" s="743"/>
      <c r="AN7" s="743"/>
      <c r="AO7" s="743"/>
      <c r="AP7" s="743"/>
      <c r="AQ7" s="743"/>
      <c r="AR7" s="743"/>
      <c r="AS7" s="743"/>
      <c r="AT7" s="743"/>
      <c r="AV7" s="743" t="str">
        <f>IF(AW3="","",AW3&amp;"的储物箱")</f>
        <v>据点2的储物箱</v>
      </c>
      <c r="AW7" s="743"/>
      <c r="AX7" s="743"/>
      <c r="AY7" s="743"/>
      <c r="AZ7" s="743"/>
      <c r="BA7" s="743"/>
      <c r="BB7" s="743"/>
      <c r="BC7" s="743"/>
      <c r="BD7" s="743"/>
      <c r="BE7" s="743"/>
      <c r="BF7" s="743"/>
      <c r="BG7" s="743"/>
      <c r="BH7" s="743"/>
      <c r="BI7" s="743"/>
      <c r="BJ7" s="743"/>
      <c r="BK7" s="743"/>
      <c r="BL7" s="743"/>
      <c r="BM7" s="743"/>
      <c r="BN7" s="743"/>
      <c r="BO7" s="743"/>
      <c r="BP7" s="743"/>
      <c r="BQ7" s="743"/>
      <c r="BS7" s="743" t="str">
        <f>IF(AW3="","",AW3&amp;"的财产状况")</f>
        <v>据点2的财产状况</v>
      </c>
      <c r="BT7" s="743"/>
      <c r="BU7" s="743"/>
      <c r="BV7" s="743"/>
      <c r="BW7" s="743"/>
      <c r="BX7" s="743"/>
      <c r="BY7" s="743"/>
      <c r="BZ7" s="743"/>
      <c r="CA7" s="111"/>
      <c r="CB7" s="743" t="str">
        <f>IF(AW3="","",AW3&amp;"的财产收入")</f>
        <v>据点2的财产收入</v>
      </c>
      <c r="CC7" s="743"/>
      <c r="CD7" s="743"/>
      <c r="CE7" s="743"/>
      <c r="CF7" s="743"/>
      <c r="CG7" s="743"/>
      <c r="CH7" s="743"/>
      <c r="CI7" s="743"/>
      <c r="CJ7" s="743"/>
      <c r="CK7" s="743"/>
      <c r="CL7" s="743"/>
      <c r="CM7" s="743"/>
      <c r="CN7" s="743"/>
    </row>
    <row r="8" spans="1:93" ht="17.100000000000001" customHeight="1" x14ac:dyDescent="0.35">
      <c r="B8" s="111"/>
      <c r="C8" s="744" t="s">
        <v>2259</v>
      </c>
      <c r="D8" s="744"/>
      <c r="E8" s="744"/>
      <c r="F8" s="744"/>
      <c r="G8" s="744"/>
      <c r="H8" s="744"/>
      <c r="I8" s="744" t="s">
        <v>2260</v>
      </c>
      <c r="J8" s="744"/>
      <c r="K8" s="744"/>
      <c r="L8" s="744"/>
      <c r="M8" s="744"/>
      <c r="N8" s="744"/>
      <c r="O8" s="744"/>
      <c r="P8" s="744"/>
      <c r="Q8" s="744"/>
      <c r="R8" s="744"/>
      <c r="S8" s="744"/>
      <c r="T8" s="744"/>
      <c r="U8" s="744"/>
      <c r="V8" s="744" t="s">
        <v>2236</v>
      </c>
      <c r="W8" s="744"/>
      <c r="Y8" s="744" t="s">
        <v>2261</v>
      </c>
      <c r="Z8" s="744"/>
      <c r="AA8" s="744" t="s">
        <v>2236</v>
      </c>
      <c r="AB8" s="744"/>
      <c r="AC8" s="744"/>
      <c r="AD8" s="744"/>
      <c r="AE8" s="744"/>
      <c r="AF8" s="744"/>
      <c r="AG8" s="111"/>
      <c r="AH8" s="744" t="s">
        <v>2261</v>
      </c>
      <c r="AI8" s="744"/>
      <c r="AJ8" s="744" t="s">
        <v>2262</v>
      </c>
      <c r="AK8" s="744"/>
      <c r="AL8" s="744"/>
      <c r="AM8" s="744"/>
      <c r="AN8" s="744"/>
      <c r="AO8" s="744"/>
      <c r="AP8" s="744"/>
      <c r="AQ8" s="744"/>
      <c r="AR8" s="744"/>
      <c r="AS8" s="744"/>
      <c r="AT8" s="744"/>
      <c r="AV8" s="111"/>
      <c r="AW8" s="744" t="s">
        <v>2259</v>
      </c>
      <c r="AX8" s="744"/>
      <c r="AY8" s="744"/>
      <c r="AZ8" s="744"/>
      <c r="BA8" s="744"/>
      <c r="BB8" s="744"/>
      <c r="BC8" s="744" t="s">
        <v>2260</v>
      </c>
      <c r="BD8" s="744"/>
      <c r="BE8" s="744"/>
      <c r="BF8" s="744"/>
      <c r="BG8" s="744"/>
      <c r="BH8" s="744"/>
      <c r="BI8" s="744"/>
      <c r="BJ8" s="744"/>
      <c r="BK8" s="744"/>
      <c r="BL8" s="744"/>
      <c r="BM8" s="744"/>
      <c r="BN8" s="744"/>
      <c r="BO8" s="744"/>
      <c r="BP8" s="744" t="s">
        <v>2236</v>
      </c>
      <c r="BQ8" s="744"/>
      <c r="BS8" s="744" t="s">
        <v>2261</v>
      </c>
      <c r="BT8" s="744"/>
      <c r="BU8" s="744" t="s">
        <v>2236</v>
      </c>
      <c r="BV8" s="744"/>
      <c r="BW8" s="744"/>
      <c r="BX8" s="744"/>
      <c r="BY8" s="744"/>
      <c r="BZ8" s="744"/>
      <c r="CA8" s="111"/>
      <c r="CB8" s="744" t="s">
        <v>2261</v>
      </c>
      <c r="CC8" s="744"/>
      <c r="CD8" s="744" t="s">
        <v>2262</v>
      </c>
      <c r="CE8" s="744"/>
      <c r="CF8" s="744"/>
      <c r="CG8" s="744"/>
      <c r="CH8" s="744"/>
      <c r="CI8" s="744"/>
      <c r="CJ8" s="744"/>
      <c r="CK8" s="744"/>
      <c r="CL8" s="744"/>
      <c r="CM8" s="744"/>
      <c r="CN8" s="744"/>
    </row>
    <row r="9" spans="1:93" ht="17.100000000000001" customHeight="1" x14ac:dyDescent="0.25">
      <c r="B9" s="112">
        <v>1</v>
      </c>
      <c r="C9" s="733"/>
      <c r="D9" s="734"/>
      <c r="E9" s="734"/>
      <c r="F9" s="734"/>
      <c r="G9" s="734"/>
      <c r="H9" s="735"/>
      <c r="I9" s="736"/>
      <c r="J9" s="736"/>
      <c r="K9" s="736"/>
      <c r="L9" s="736"/>
      <c r="M9" s="736"/>
      <c r="N9" s="736"/>
      <c r="O9" s="736"/>
      <c r="P9" s="736"/>
      <c r="Q9" s="736"/>
      <c r="R9" s="736"/>
      <c r="S9" s="736"/>
      <c r="T9" s="736"/>
      <c r="U9" s="736"/>
      <c r="V9" s="737"/>
      <c r="W9" s="737"/>
      <c r="Y9" s="749" t="s">
        <v>161</v>
      </c>
      <c r="Z9" s="749"/>
      <c r="AA9" s="737"/>
      <c r="AB9" s="737"/>
      <c r="AC9" s="737"/>
      <c r="AD9" s="737"/>
      <c r="AE9" s="737"/>
      <c r="AF9" s="737"/>
      <c r="AG9" s="111"/>
      <c r="AH9" s="749" t="s">
        <v>161</v>
      </c>
      <c r="AI9" s="749"/>
      <c r="AJ9" s="737"/>
      <c r="AK9" s="737"/>
      <c r="AL9" s="737"/>
      <c r="AM9" s="737"/>
      <c r="AN9" s="737"/>
      <c r="AO9" s="737"/>
      <c r="AP9" s="737"/>
      <c r="AQ9" s="737"/>
      <c r="AR9" s="737"/>
      <c r="AS9" s="737"/>
      <c r="AT9" s="737"/>
      <c r="AV9" s="112">
        <v>1</v>
      </c>
      <c r="AW9" s="733"/>
      <c r="AX9" s="734"/>
      <c r="AY9" s="734"/>
      <c r="AZ9" s="734"/>
      <c r="BA9" s="734"/>
      <c r="BB9" s="735"/>
      <c r="BC9" s="736"/>
      <c r="BD9" s="736"/>
      <c r="BE9" s="736"/>
      <c r="BF9" s="736"/>
      <c r="BG9" s="736"/>
      <c r="BH9" s="736"/>
      <c r="BI9" s="736"/>
      <c r="BJ9" s="736"/>
      <c r="BK9" s="736"/>
      <c r="BL9" s="736"/>
      <c r="BM9" s="736"/>
      <c r="BN9" s="736"/>
      <c r="BO9" s="736"/>
      <c r="BP9" s="737"/>
      <c r="BQ9" s="737"/>
      <c r="BS9" s="749" t="s">
        <v>161</v>
      </c>
      <c r="BT9" s="749"/>
      <c r="BU9" s="737"/>
      <c r="BV9" s="737"/>
      <c r="BW9" s="737"/>
      <c r="BX9" s="737"/>
      <c r="BY9" s="737"/>
      <c r="BZ9" s="737"/>
      <c r="CA9" s="111"/>
      <c r="CB9" s="749" t="s">
        <v>161</v>
      </c>
      <c r="CC9" s="749"/>
      <c r="CD9" s="737"/>
      <c r="CE9" s="737"/>
      <c r="CF9" s="737"/>
      <c r="CG9" s="737"/>
      <c r="CH9" s="737"/>
      <c r="CI9" s="737"/>
      <c r="CJ9" s="737"/>
      <c r="CK9" s="737"/>
      <c r="CL9" s="737"/>
      <c r="CM9" s="737"/>
      <c r="CN9" s="737"/>
    </row>
    <row r="10" spans="1:93" ht="17.100000000000001" customHeight="1" x14ac:dyDescent="0.25">
      <c r="B10" s="113">
        <v>2</v>
      </c>
      <c r="C10" s="738"/>
      <c r="D10" s="739"/>
      <c r="E10" s="739"/>
      <c r="F10" s="739"/>
      <c r="G10" s="739"/>
      <c r="H10" s="740"/>
      <c r="I10" s="741"/>
      <c r="J10" s="741"/>
      <c r="K10" s="741"/>
      <c r="L10" s="741"/>
      <c r="M10" s="741"/>
      <c r="N10" s="741"/>
      <c r="O10" s="741"/>
      <c r="P10" s="741"/>
      <c r="Q10" s="741"/>
      <c r="R10" s="741"/>
      <c r="S10" s="741"/>
      <c r="T10" s="741"/>
      <c r="U10" s="741"/>
      <c r="V10" s="742"/>
      <c r="W10" s="742"/>
      <c r="Y10" s="747" t="s">
        <v>163</v>
      </c>
      <c r="Z10" s="747"/>
      <c r="AA10" s="737"/>
      <c r="AB10" s="737"/>
      <c r="AC10" s="737"/>
      <c r="AD10" s="737"/>
      <c r="AE10" s="737"/>
      <c r="AF10" s="737"/>
      <c r="AG10" s="111"/>
      <c r="AH10" s="747" t="s">
        <v>163</v>
      </c>
      <c r="AI10" s="747"/>
      <c r="AJ10" s="737"/>
      <c r="AK10" s="737"/>
      <c r="AL10" s="737"/>
      <c r="AM10" s="737"/>
      <c r="AN10" s="737"/>
      <c r="AO10" s="737"/>
      <c r="AP10" s="737"/>
      <c r="AQ10" s="737"/>
      <c r="AR10" s="737"/>
      <c r="AS10" s="737"/>
      <c r="AT10" s="737"/>
      <c r="AV10" s="113">
        <v>2</v>
      </c>
      <c r="AW10" s="738"/>
      <c r="AX10" s="739"/>
      <c r="AY10" s="739"/>
      <c r="AZ10" s="739"/>
      <c r="BA10" s="739"/>
      <c r="BB10" s="740"/>
      <c r="BC10" s="741"/>
      <c r="BD10" s="741"/>
      <c r="BE10" s="741"/>
      <c r="BF10" s="741"/>
      <c r="BG10" s="741"/>
      <c r="BH10" s="741"/>
      <c r="BI10" s="741"/>
      <c r="BJ10" s="741"/>
      <c r="BK10" s="741"/>
      <c r="BL10" s="741"/>
      <c r="BM10" s="741"/>
      <c r="BN10" s="741"/>
      <c r="BO10" s="741"/>
      <c r="BP10" s="742"/>
      <c r="BQ10" s="742"/>
      <c r="BS10" s="747" t="s">
        <v>163</v>
      </c>
      <c r="BT10" s="747"/>
      <c r="BU10" s="737"/>
      <c r="BV10" s="737"/>
      <c r="BW10" s="737"/>
      <c r="BX10" s="737"/>
      <c r="BY10" s="737"/>
      <c r="BZ10" s="737"/>
      <c r="CA10" s="111"/>
      <c r="CB10" s="747" t="s">
        <v>163</v>
      </c>
      <c r="CC10" s="747"/>
      <c r="CD10" s="737"/>
      <c r="CE10" s="737"/>
      <c r="CF10" s="737"/>
      <c r="CG10" s="737"/>
      <c r="CH10" s="737"/>
      <c r="CI10" s="737"/>
      <c r="CJ10" s="737"/>
      <c r="CK10" s="737"/>
      <c r="CL10" s="737"/>
      <c r="CM10" s="737"/>
      <c r="CN10" s="737"/>
    </row>
    <row r="11" spans="1:93" ht="17.100000000000001" customHeight="1" x14ac:dyDescent="0.25">
      <c r="B11" s="112">
        <v>3</v>
      </c>
      <c r="C11" s="733"/>
      <c r="D11" s="734"/>
      <c r="E11" s="734"/>
      <c r="F11" s="734"/>
      <c r="G11" s="734"/>
      <c r="H11" s="735"/>
      <c r="I11" s="736"/>
      <c r="J11" s="736"/>
      <c r="K11" s="736"/>
      <c r="L11" s="736"/>
      <c r="M11" s="736"/>
      <c r="N11" s="736"/>
      <c r="O11" s="736"/>
      <c r="P11" s="736"/>
      <c r="Q11" s="736"/>
      <c r="R11" s="736"/>
      <c r="S11" s="736"/>
      <c r="T11" s="736"/>
      <c r="U11" s="736"/>
      <c r="V11" s="737"/>
      <c r="W11" s="737"/>
      <c r="Y11" s="748" t="s">
        <v>160</v>
      </c>
      <c r="Z11" s="748"/>
      <c r="AA11" s="737"/>
      <c r="AB11" s="737"/>
      <c r="AC11" s="737"/>
      <c r="AD11" s="737"/>
      <c r="AE11" s="737"/>
      <c r="AF11" s="737"/>
      <c r="AG11" s="111"/>
      <c r="AH11" s="748" t="s">
        <v>160</v>
      </c>
      <c r="AI11" s="748"/>
      <c r="AJ11" s="737"/>
      <c r="AK11" s="737"/>
      <c r="AL11" s="737"/>
      <c r="AM11" s="737"/>
      <c r="AN11" s="737"/>
      <c r="AO11" s="737"/>
      <c r="AP11" s="737"/>
      <c r="AQ11" s="737"/>
      <c r="AR11" s="737"/>
      <c r="AS11" s="737"/>
      <c r="AT11" s="737"/>
      <c r="AV11" s="112">
        <v>3</v>
      </c>
      <c r="AW11" s="733"/>
      <c r="AX11" s="734"/>
      <c r="AY11" s="734"/>
      <c r="AZ11" s="734"/>
      <c r="BA11" s="734"/>
      <c r="BB11" s="735"/>
      <c r="BC11" s="736"/>
      <c r="BD11" s="736"/>
      <c r="BE11" s="736"/>
      <c r="BF11" s="736"/>
      <c r="BG11" s="736"/>
      <c r="BH11" s="736"/>
      <c r="BI11" s="736"/>
      <c r="BJ11" s="736"/>
      <c r="BK11" s="736"/>
      <c r="BL11" s="736"/>
      <c r="BM11" s="736"/>
      <c r="BN11" s="736"/>
      <c r="BO11" s="736"/>
      <c r="BP11" s="737"/>
      <c r="BQ11" s="737"/>
      <c r="BS11" s="748" t="s">
        <v>160</v>
      </c>
      <c r="BT11" s="748"/>
      <c r="BU11" s="737"/>
      <c r="BV11" s="737"/>
      <c r="BW11" s="737"/>
      <c r="BX11" s="737"/>
      <c r="BY11" s="737"/>
      <c r="BZ11" s="737"/>
      <c r="CA11" s="111"/>
      <c r="CB11" s="748" t="s">
        <v>160</v>
      </c>
      <c r="CC11" s="748"/>
      <c r="CD11" s="737"/>
      <c r="CE11" s="737"/>
      <c r="CF11" s="737"/>
      <c r="CG11" s="737"/>
      <c r="CH11" s="737"/>
      <c r="CI11" s="737"/>
      <c r="CJ11" s="737"/>
      <c r="CK11" s="737"/>
      <c r="CL11" s="737"/>
      <c r="CM11" s="737"/>
      <c r="CN11" s="737"/>
    </row>
    <row r="12" spans="1:93" ht="17.100000000000001" customHeight="1" x14ac:dyDescent="0.25">
      <c r="B12" s="113">
        <v>4</v>
      </c>
      <c r="C12" s="738"/>
      <c r="D12" s="739"/>
      <c r="E12" s="739"/>
      <c r="F12" s="739"/>
      <c r="G12" s="739"/>
      <c r="H12" s="740"/>
      <c r="I12" s="741"/>
      <c r="J12" s="741"/>
      <c r="K12" s="741"/>
      <c r="L12" s="741"/>
      <c r="M12" s="741"/>
      <c r="N12" s="741"/>
      <c r="O12" s="741"/>
      <c r="P12" s="741"/>
      <c r="Q12" s="741"/>
      <c r="R12" s="741"/>
      <c r="S12" s="741"/>
      <c r="T12" s="741"/>
      <c r="U12" s="741"/>
      <c r="V12" s="742"/>
      <c r="W12" s="742"/>
      <c r="Y12" s="746" t="s">
        <v>171</v>
      </c>
      <c r="Z12" s="746"/>
      <c r="AA12" s="737"/>
      <c r="AB12" s="737"/>
      <c r="AC12" s="737"/>
      <c r="AD12" s="737"/>
      <c r="AE12" s="737"/>
      <c r="AF12" s="737"/>
      <c r="AG12" s="111"/>
      <c r="AH12" s="746" t="s">
        <v>171</v>
      </c>
      <c r="AI12" s="746"/>
      <c r="AJ12" s="737"/>
      <c r="AK12" s="737"/>
      <c r="AL12" s="737"/>
      <c r="AM12" s="737"/>
      <c r="AN12" s="737"/>
      <c r="AO12" s="737"/>
      <c r="AP12" s="737"/>
      <c r="AQ12" s="737"/>
      <c r="AR12" s="737"/>
      <c r="AS12" s="737"/>
      <c r="AT12" s="737"/>
      <c r="AV12" s="113">
        <v>4</v>
      </c>
      <c r="AW12" s="738"/>
      <c r="AX12" s="739"/>
      <c r="AY12" s="739"/>
      <c r="AZ12" s="739"/>
      <c r="BA12" s="739"/>
      <c r="BB12" s="740"/>
      <c r="BC12" s="741"/>
      <c r="BD12" s="741"/>
      <c r="BE12" s="741"/>
      <c r="BF12" s="741"/>
      <c r="BG12" s="741"/>
      <c r="BH12" s="741"/>
      <c r="BI12" s="741"/>
      <c r="BJ12" s="741"/>
      <c r="BK12" s="741"/>
      <c r="BL12" s="741"/>
      <c r="BM12" s="741"/>
      <c r="BN12" s="741"/>
      <c r="BO12" s="741"/>
      <c r="BP12" s="742"/>
      <c r="BQ12" s="742"/>
      <c r="BS12" s="746" t="s">
        <v>171</v>
      </c>
      <c r="BT12" s="746"/>
      <c r="BU12" s="737"/>
      <c r="BV12" s="737"/>
      <c r="BW12" s="737"/>
      <c r="BX12" s="737"/>
      <c r="BY12" s="737"/>
      <c r="BZ12" s="737"/>
      <c r="CA12" s="111"/>
      <c r="CB12" s="746" t="s">
        <v>171</v>
      </c>
      <c r="CC12" s="746"/>
      <c r="CD12" s="737"/>
      <c r="CE12" s="737"/>
      <c r="CF12" s="737"/>
      <c r="CG12" s="737"/>
      <c r="CH12" s="737"/>
      <c r="CI12" s="737"/>
      <c r="CJ12" s="737"/>
      <c r="CK12" s="737"/>
      <c r="CL12" s="737"/>
      <c r="CM12" s="737"/>
      <c r="CN12" s="737"/>
    </row>
    <row r="13" spans="1:93" ht="17.100000000000001" customHeight="1" x14ac:dyDescent="0.25">
      <c r="B13" s="112">
        <v>5</v>
      </c>
      <c r="C13" s="733"/>
      <c r="D13" s="734"/>
      <c r="E13" s="734"/>
      <c r="F13" s="734"/>
      <c r="G13" s="734"/>
      <c r="H13" s="735"/>
      <c r="I13" s="736"/>
      <c r="J13" s="736"/>
      <c r="K13" s="736"/>
      <c r="L13" s="736"/>
      <c r="M13" s="736"/>
      <c r="N13" s="736"/>
      <c r="O13" s="736"/>
      <c r="P13" s="736"/>
      <c r="Q13" s="736"/>
      <c r="R13" s="736"/>
      <c r="S13" s="736"/>
      <c r="T13" s="736"/>
      <c r="U13" s="736"/>
      <c r="V13" s="737"/>
      <c r="W13" s="737"/>
      <c r="Y13" s="745" t="s">
        <v>173</v>
      </c>
      <c r="Z13" s="745"/>
      <c r="AA13" s="737"/>
      <c r="AB13" s="737"/>
      <c r="AC13" s="737"/>
      <c r="AD13" s="737"/>
      <c r="AE13" s="737"/>
      <c r="AF13" s="737"/>
      <c r="AG13" s="111"/>
      <c r="AH13" s="745" t="s">
        <v>173</v>
      </c>
      <c r="AI13" s="745"/>
      <c r="AJ13" s="737"/>
      <c r="AK13" s="737"/>
      <c r="AL13" s="737"/>
      <c r="AM13" s="737"/>
      <c r="AN13" s="737"/>
      <c r="AO13" s="737"/>
      <c r="AP13" s="737"/>
      <c r="AQ13" s="737"/>
      <c r="AR13" s="737"/>
      <c r="AS13" s="737"/>
      <c r="AT13" s="737"/>
      <c r="AV13" s="112">
        <v>5</v>
      </c>
      <c r="AW13" s="733"/>
      <c r="AX13" s="734"/>
      <c r="AY13" s="734"/>
      <c r="AZ13" s="734"/>
      <c r="BA13" s="734"/>
      <c r="BB13" s="735"/>
      <c r="BC13" s="736"/>
      <c r="BD13" s="736"/>
      <c r="BE13" s="736"/>
      <c r="BF13" s="736"/>
      <c r="BG13" s="736"/>
      <c r="BH13" s="736"/>
      <c r="BI13" s="736"/>
      <c r="BJ13" s="736"/>
      <c r="BK13" s="736"/>
      <c r="BL13" s="736"/>
      <c r="BM13" s="736"/>
      <c r="BN13" s="736"/>
      <c r="BO13" s="736"/>
      <c r="BP13" s="737"/>
      <c r="BQ13" s="737"/>
      <c r="BS13" s="745" t="s">
        <v>173</v>
      </c>
      <c r="BT13" s="745"/>
      <c r="BU13" s="737"/>
      <c r="BV13" s="737"/>
      <c r="BW13" s="737"/>
      <c r="BX13" s="737"/>
      <c r="BY13" s="737"/>
      <c r="BZ13" s="737"/>
      <c r="CA13" s="111"/>
      <c r="CB13" s="745" t="s">
        <v>173</v>
      </c>
      <c r="CC13" s="745"/>
      <c r="CD13" s="737"/>
      <c r="CE13" s="737"/>
      <c r="CF13" s="737"/>
      <c r="CG13" s="737"/>
      <c r="CH13" s="737"/>
      <c r="CI13" s="737"/>
      <c r="CJ13" s="737"/>
      <c r="CK13" s="737"/>
      <c r="CL13" s="737"/>
      <c r="CM13" s="737"/>
      <c r="CN13" s="737"/>
    </row>
    <row r="14" spans="1:93" ht="17.100000000000001" customHeight="1" x14ac:dyDescent="0.25">
      <c r="B14" s="113">
        <v>6</v>
      </c>
      <c r="C14" s="738"/>
      <c r="D14" s="739"/>
      <c r="E14" s="739"/>
      <c r="F14" s="739"/>
      <c r="G14" s="739"/>
      <c r="H14" s="740"/>
      <c r="I14" s="741"/>
      <c r="J14" s="741"/>
      <c r="K14" s="741"/>
      <c r="L14" s="741"/>
      <c r="M14" s="741"/>
      <c r="N14" s="741"/>
      <c r="O14" s="741"/>
      <c r="P14" s="741"/>
      <c r="Q14" s="741"/>
      <c r="R14" s="741"/>
      <c r="S14" s="741"/>
      <c r="T14" s="741"/>
      <c r="U14" s="741"/>
      <c r="V14" s="742"/>
      <c r="W14" s="742"/>
      <c r="Y14" s="111"/>
      <c r="Z14" s="111"/>
      <c r="AA14" s="111"/>
      <c r="AB14" s="111"/>
      <c r="AC14" s="111"/>
      <c r="AD14" s="111"/>
      <c r="AE14" s="111"/>
      <c r="AF14" s="111"/>
      <c r="AG14" s="111"/>
      <c r="AH14" s="111"/>
      <c r="AI14" s="111"/>
      <c r="AJ14" s="111"/>
      <c r="AK14" s="111"/>
      <c r="AL14" s="111"/>
      <c r="AM14" s="111"/>
      <c r="AN14" s="111"/>
      <c r="AO14" s="111"/>
      <c r="AV14" s="113">
        <v>6</v>
      </c>
      <c r="AW14" s="738"/>
      <c r="AX14" s="739"/>
      <c r="AY14" s="739"/>
      <c r="AZ14" s="739"/>
      <c r="BA14" s="739"/>
      <c r="BB14" s="740"/>
      <c r="BC14" s="741"/>
      <c r="BD14" s="741"/>
      <c r="BE14" s="741"/>
      <c r="BF14" s="741"/>
      <c r="BG14" s="741"/>
      <c r="BH14" s="741"/>
      <c r="BI14" s="741"/>
      <c r="BJ14" s="741"/>
      <c r="BK14" s="741"/>
      <c r="BL14" s="741"/>
      <c r="BM14" s="741"/>
      <c r="BN14" s="741"/>
      <c r="BO14" s="741"/>
      <c r="BP14" s="742"/>
      <c r="BQ14" s="742"/>
      <c r="BS14" s="111"/>
      <c r="BT14" s="111"/>
      <c r="BU14" s="111"/>
      <c r="BV14" s="111"/>
      <c r="BW14" s="111"/>
      <c r="BX14" s="111"/>
      <c r="BY14" s="111"/>
      <c r="BZ14" s="111"/>
      <c r="CA14" s="111"/>
      <c r="CB14" s="111"/>
      <c r="CC14" s="111"/>
      <c r="CD14" s="111"/>
      <c r="CE14" s="111"/>
      <c r="CF14" s="111"/>
      <c r="CG14" s="111"/>
      <c r="CH14" s="111"/>
      <c r="CI14" s="111"/>
    </row>
    <row r="15" spans="1:93" ht="17.100000000000001" customHeight="1" x14ac:dyDescent="0.25">
      <c r="B15" s="112">
        <v>7</v>
      </c>
      <c r="C15" s="733"/>
      <c r="D15" s="734"/>
      <c r="E15" s="734"/>
      <c r="F15" s="734"/>
      <c r="G15" s="734"/>
      <c r="H15" s="735"/>
      <c r="I15" s="736"/>
      <c r="J15" s="736"/>
      <c r="K15" s="736"/>
      <c r="L15" s="736"/>
      <c r="M15" s="736"/>
      <c r="N15" s="736"/>
      <c r="O15" s="736"/>
      <c r="P15" s="736"/>
      <c r="Q15" s="736"/>
      <c r="R15" s="736"/>
      <c r="S15" s="736"/>
      <c r="T15" s="736"/>
      <c r="U15" s="736"/>
      <c r="V15" s="737"/>
      <c r="W15" s="737"/>
      <c r="Y15" s="743" t="str">
        <f>IF(C3="","",C3&amp;"的武器架")</f>
        <v>据点1的武器架</v>
      </c>
      <c r="Z15" s="743"/>
      <c r="AA15" s="743"/>
      <c r="AB15" s="743"/>
      <c r="AC15" s="743"/>
      <c r="AD15" s="743"/>
      <c r="AE15" s="743"/>
      <c r="AF15" s="743"/>
      <c r="AG15" s="743"/>
      <c r="AH15" s="743"/>
      <c r="AI15" s="743"/>
      <c r="AJ15" s="743"/>
      <c r="AK15" s="743"/>
      <c r="AL15" s="743"/>
      <c r="AM15" s="743"/>
      <c r="AN15" s="743"/>
      <c r="AO15" s="743"/>
      <c r="AP15" s="743"/>
      <c r="AQ15" s="743"/>
      <c r="AR15" s="743"/>
      <c r="AS15" s="743"/>
      <c r="AT15" s="743"/>
      <c r="AV15" s="112">
        <v>7</v>
      </c>
      <c r="AW15" s="733"/>
      <c r="AX15" s="734"/>
      <c r="AY15" s="734"/>
      <c r="AZ15" s="734"/>
      <c r="BA15" s="734"/>
      <c r="BB15" s="735"/>
      <c r="BC15" s="736"/>
      <c r="BD15" s="736"/>
      <c r="BE15" s="736"/>
      <c r="BF15" s="736"/>
      <c r="BG15" s="736"/>
      <c r="BH15" s="736"/>
      <c r="BI15" s="736"/>
      <c r="BJ15" s="736"/>
      <c r="BK15" s="736"/>
      <c r="BL15" s="736"/>
      <c r="BM15" s="736"/>
      <c r="BN15" s="736"/>
      <c r="BO15" s="736"/>
      <c r="BP15" s="737"/>
      <c r="BQ15" s="737"/>
      <c r="BS15" s="743" t="str">
        <f>IF(AW3="","",AW3&amp;"的武器架")</f>
        <v>据点2的武器架</v>
      </c>
      <c r="BT15" s="743"/>
      <c r="BU15" s="743"/>
      <c r="BV15" s="743"/>
      <c r="BW15" s="743"/>
      <c r="BX15" s="743"/>
      <c r="BY15" s="743"/>
      <c r="BZ15" s="743"/>
      <c r="CA15" s="743"/>
      <c r="CB15" s="743"/>
      <c r="CC15" s="743"/>
      <c r="CD15" s="743"/>
      <c r="CE15" s="743"/>
      <c r="CF15" s="743"/>
      <c r="CG15" s="743"/>
      <c r="CH15" s="743"/>
      <c r="CI15" s="743"/>
      <c r="CJ15" s="743"/>
      <c r="CK15" s="743"/>
      <c r="CL15" s="743"/>
      <c r="CM15" s="743"/>
      <c r="CN15" s="743"/>
    </row>
    <row r="16" spans="1:93" ht="17.100000000000001" customHeight="1" x14ac:dyDescent="0.35">
      <c r="B16" s="113">
        <v>8</v>
      </c>
      <c r="C16" s="738"/>
      <c r="D16" s="739"/>
      <c r="E16" s="739"/>
      <c r="F16" s="739"/>
      <c r="G16" s="739"/>
      <c r="H16" s="740"/>
      <c r="I16" s="741"/>
      <c r="J16" s="741"/>
      <c r="K16" s="741"/>
      <c r="L16" s="741"/>
      <c r="M16" s="741"/>
      <c r="N16" s="741"/>
      <c r="O16" s="741"/>
      <c r="P16" s="741"/>
      <c r="Q16" s="741"/>
      <c r="R16" s="741"/>
      <c r="S16" s="741"/>
      <c r="T16" s="741"/>
      <c r="U16" s="741"/>
      <c r="V16" s="742"/>
      <c r="W16" s="742"/>
      <c r="Y16" s="111"/>
      <c r="Z16" s="744" t="s">
        <v>38</v>
      </c>
      <c r="AA16" s="744"/>
      <c r="AB16" s="744"/>
      <c r="AC16" s="744"/>
      <c r="AD16" s="744"/>
      <c r="AE16" s="744"/>
      <c r="AF16" s="744" t="s">
        <v>39</v>
      </c>
      <c r="AG16" s="744"/>
      <c r="AH16" s="744"/>
      <c r="AI16" s="744"/>
      <c r="AJ16" s="744"/>
      <c r="AK16" s="744"/>
      <c r="AL16" s="744"/>
      <c r="AM16" s="744"/>
      <c r="AN16" s="744"/>
      <c r="AO16" s="744"/>
      <c r="AP16" s="744"/>
      <c r="AQ16" s="744"/>
      <c r="AR16" s="744"/>
      <c r="AS16" s="744" t="s">
        <v>2236</v>
      </c>
      <c r="AT16" s="744"/>
      <c r="AV16" s="113">
        <v>8</v>
      </c>
      <c r="AW16" s="738"/>
      <c r="AX16" s="739"/>
      <c r="AY16" s="739"/>
      <c r="AZ16" s="739"/>
      <c r="BA16" s="739"/>
      <c r="BB16" s="740"/>
      <c r="BC16" s="741"/>
      <c r="BD16" s="741"/>
      <c r="BE16" s="741"/>
      <c r="BF16" s="741"/>
      <c r="BG16" s="741"/>
      <c r="BH16" s="741"/>
      <c r="BI16" s="741"/>
      <c r="BJ16" s="741"/>
      <c r="BK16" s="741"/>
      <c r="BL16" s="741"/>
      <c r="BM16" s="741"/>
      <c r="BN16" s="741"/>
      <c r="BO16" s="741"/>
      <c r="BP16" s="742"/>
      <c r="BQ16" s="742"/>
      <c r="BS16" s="111"/>
      <c r="BT16" s="744" t="s">
        <v>38</v>
      </c>
      <c r="BU16" s="744"/>
      <c r="BV16" s="744"/>
      <c r="BW16" s="744"/>
      <c r="BX16" s="744"/>
      <c r="BY16" s="744"/>
      <c r="BZ16" s="744" t="s">
        <v>39</v>
      </c>
      <c r="CA16" s="744"/>
      <c r="CB16" s="744"/>
      <c r="CC16" s="744"/>
      <c r="CD16" s="744"/>
      <c r="CE16" s="744"/>
      <c r="CF16" s="744"/>
      <c r="CG16" s="744"/>
      <c r="CH16" s="744"/>
      <c r="CI16" s="744"/>
      <c r="CJ16" s="744"/>
      <c r="CK16" s="744"/>
      <c r="CL16" s="744"/>
      <c r="CM16" s="744" t="s">
        <v>2236</v>
      </c>
      <c r="CN16" s="744"/>
    </row>
    <row r="17" spans="2:92" ht="17.100000000000001" customHeight="1" x14ac:dyDescent="0.25">
      <c r="B17" s="112">
        <v>9</v>
      </c>
      <c r="C17" s="733"/>
      <c r="D17" s="734"/>
      <c r="E17" s="734"/>
      <c r="F17" s="734"/>
      <c r="G17" s="734"/>
      <c r="H17" s="735"/>
      <c r="I17" s="736"/>
      <c r="J17" s="736"/>
      <c r="K17" s="736"/>
      <c r="L17" s="736"/>
      <c r="M17" s="736"/>
      <c r="N17" s="736"/>
      <c r="O17" s="736"/>
      <c r="P17" s="736"/>
      <c r="Q17" s="736"/>
      <c r="R17" s="736"/>
      <c r="S17" s="736"/>
      <c r="T17" s="736"/>
      <c r="U17" s="736"/>
      <c r="V17" s="737"/>
      <c r="W17" s="737"/>
      <c r="Y17" s="112">
        <v>1</v>
      </c>
      <c r="Z17" s="733"/>
      <c r="AA17" s="734"/>
      <c r="AB17" s="734"/>
      <c r="AC17" s="734"/>
      <c r="AD17" s="734"/>
      <c r="AE17" s="735"/>
      <c r="AF17" s="736"/>
      <c r="AG17" s="736"/>
      <c r="AH17" s="736"/>
      <c r="AI17" s="736"/>
      <c r="AJ17" s="736"/>
      <c r="AK17" s="736"/>
      <c r="AL17" s="736"/>
      <c r="AM17" s="736"/>
      <c r="AN17" s="736"/>
      <c r="AO17" s="736"/>
      <c r="AP17" s="736"/>
      <c r="AQ17" s="736"/>
      <c r="AR17" s="736"/>
      <c r="AS17" s="737"/>
      <c r="AT17" s="737"/>
      <c r="AV17" s="112">
        <v>9</v>
      </c>
      <c r="AW17" s="733"/>
      <c r="AX17" s="734"/>
      <c r="AY17" s="734"/>
      <c r="AZ17" s="734"/>
      <c r="BA17" s="734"/>
      <c r="BB17" s="735"/>
      <c r="BC17" s="736"/>
      <c r="BD17" s="736"/>
      <c r="BE17" s="736"/>
      <c r="BF17" s="736"/>
      <c r="BG17" s="736"/>
      <c r="BH17" s="736"/>
      <c r="BI17" s="736"/>
      <c r="BJ17" s="736"/>
      <c r="BK17" s="736"/>
      <c r="BL17" s="736"/>
      <c r="BM17" s="736"/>
      <c r="BN17" s="736"/>
      <c r="BO17" s="736"/>
      <c r="BP17" s="737"/>
      <c r="BQ17" s="737"/>
      <c r="BS17" s="112">
        <v>1</v>
      </c>
      <c r="BT17" s="733"/>
      <c r="BU17" s="734"/>
      <c r="BV17" s="734"/>
      <c r="BW17" s="734"/>
      <c r="BX17" s="734"/>
      <c r="BY17" s="735"/>
      <c r="BZ17" s="736"/>
      <c r="CA17" s="736"/>
      <c r="CB17" s="736"/>
      <c r="CC17" s="736"/>
      <c r="CD17" s="736"/>
      <c r="CE17" s="736"/>
      <c r="CF17" s="736"/>
      <c r="CG17" s="736"/>
      <c r="CH17" s="736"/>
      <c r="CI17" s="736"/>
      <c r="CJ17" s="736"/>
      <c r="CK17" s="736"/>
      <c r="CL17" s="736"/>
      <c r="CM17" s="737"/>
      <c r="CN17" s="737"/>
    </row>
    <row r="18" spans="2:92" ht="17.100000000000001" customHeight="1" x14ac:dyDescent="0.25">
      <c r="B18" s="113">
        <v>10</v>
      </c>
      <c r="C18" s="738"/>
      <c r="D18" s="739"/>
      <c r="E18" s="739"/>
      <c r="F18" s="739"/>
      <c r="G18" s="739"/>
      <c r="H18" s="740"/>
      <c r="I18" s="741"/>
      <c r="J18" s="741"/>
      <c r="K18" s="741"/>
      <c r="L18" s="741"/>
      <c r="M18" s="741"/>
      <c r="N18" s="741"/>
      <c r="O18" s="741"/>
      <c r="P18" s="741"/>
      <c r="Q18" s="741"/>
      <c r="R18" s="741"/>
      <c r="S18" s="741"/>
      <c r="T18" s="741"/>
      <c r="U18" s="741"/>
      <c r="V18" s="742"/>
      <c r="W18" s="742"/>
      <c r="Y18" s="113">
        <v>2</v>
      </c>
      <c r="Z18" s="738"/>
      <c r="AA18" s="739"/>
      <c r="AB18" s="739"/>
      <c r="AC18" s="739"/>
      <c r="AD18" s="739"/>
      <c r="AE18" s="740"/>
      <c r="AF18" s="741"/>
      <c r="AG18" s="741"/>
      <c r="AH18" s="741"/>
      <c r="AI18" s="741"/>
      <c r="AJ18" s="741"/>
      <c r="AK18" s="741"/>
      <c r="AL18" s="741"/>
      <c r="AM18" s="741"/>
      <c r="AN18" s="741"/>
      <c r="AO18" s="741"/>
      <c r="AP18" s="741"/>
      <c r="AQ18" s="741"/>
      <c r="AR18" s="741"/>
      <c r="AS18" s="742"/>
      <c r="AT18" s="742"/>
      <c r="AV18" s="113">
        <v>10</v>
      </c>
      <c r="AW18" s="738"/>
      <c r="AX18" s="739"/>
      <c r="AY18" s="739"/>
      <c r="AZ18" s="739"/>
      <c r="BA18" s="739"/>
      <c r="BB18" s="740"/>
      <c r="BC18" s="741"/>
      <c r="BD18" s="741"/>
      <c r="BE18" s="741"/>
      <c r="BF18" s="741"/>
      <c r="BG18" s="741"/>
      <c r="BH18" s="741"/>
      <c r="BI18" s="741"/>
      <c r="BJ18" s="741"/>
      <c r="BK18" s="741"/>
      <c r="BL18" s="741"/>
      <c r="BM18" s="741"/>
      <c r="BN18" s="741"/>
      <c r="BO18" s="741"/>
      <c r="BP18" s="742"/>
      <c r="BQ18" s="742"/>
      <c r="BS18" s="113">
        <v>2</v>
      </c>
      <c r="BT18" s="738"/>
      <c r="BU18" s="739"/>
      <c r="BV18" s="739"/>
      <c r="BW18" s="739"/>
      <c r="BX18" s="739"/>
      <c r="BY18" s="740"/>
      <c r="BZ18" s="741"/>
      <c r="CA18" s="741"/>
      <c r="CB18" s="741"/>
      <c r="CC18" s="741"/>
      <c r="CD18" s="741"/>
      <c r="CE18" s="741"/>
      <c r="CF18" s="741"/>
      <c r="CG18" s="741"/>
      <c r="CH18" s="741"/>
      <c r="CI18" s="741"/>
      <c r="CJ18" s="741"/>
      <c r="CK18" s="741"/>
      <c r="CL18" s="741"/>
      <c r="CM18" s="742"/>
      <c r="CN18" s="742"/>
    </row>
    <row r="19" spans="2:92" ht="17.100000000000001" customHeight="1" x14ac:dyDescent="0.25">
      <c r="B19" s="112">
        <v>11</v>
      </c>
      <c r="C19" s="733"/>
      <c r="D19" s="734"/>
      <c r="E19" s="734"/>
      <c r="F19" s="734"/>
      <c r="G19" s="734"/>
      <c r="H19" s="735"/>
      <c r="I19" s="736"/>
      <c r="J19" s="736"/>
      <c r="K19" s="736"/>
      <c r="L19" s="736"/>
      <c r="M19" s="736"/>
      <c r="N19" s="736"/>
      <c r="O19" s="736"/>
      <c r="P19" s="736"/>
      <c r="Q19" s="736"/>
      <c r="R19" s="736"/>
      <c r="S19" s="736"/>
      <c r="T19" s="736"/>
      <c r="U19" s="736"/>
      <c r="V19" s="737"/>
      <c r="W19" s="737"/>
      <c r="Y19" s="112">
        <v>3</v>
      </c>
      <c r="Z19" s="733"/>
      <c r="AA19" s="734"/>
      <c r="AB19" s="734"/>
      <c r="AC19" s="734"/>
      <c r="AD19" s="734"/>
      <c r="AE19" s="735"/>
      <c r="AF19" s="736"/>
      <c r="AG19" s="736"/>
      <c r="AH19" s="736"/>
      <c r="AI19" s="736"/>
      <c r="AJ19" s="736"/>
      <c r="AK19" s="736"/>
      <c r="AL19" s="736"/>
      <c r="AM19" s="736"/>
      <c r="AN19" s="736"/>
      <c r="AO19" s="736"/>
      <c r="AP19" s="736"/>
      <c r="AQ19" s="736"/>
      <c r="AR19" s="736"/>
      <c r="AS19" s="737"/>
      <c r="AT19" s="737"/>
      <c r="AV19" s="112">
        <v>11</v>
      </c>
      <c r="AW19" s="733"/>
      <c r="AX19" s="734"/>
      <c r="AY19" s="734"/>
      <c r="AZ19" s="734"/>
      <c r="BA19" s="734"/>
      <c r="BB19" s="735"/>
      <c r="BC19" s="736"/>
      <c r="BD19" s="736"/>
      <c r="BE19" s="736"/>
      <c r="BF19" s="736"/>
      <c r="BG19" s="736"/>
      <c r="BH19" s="736"/>
      <c r="BI19" s="736"/>
      <c r="BJ19" s="736"/>
      <c r="BK19" s="736"/>
      <c r="BL19" s="736"/>
      <c r="BM19" s="736"/>
      <c r="BN19" s="736"/>
      <c r="BO19" s="736"/>
      <c r="BP19" s="737"/>
      <c r="BQ19" s="737"/>
      <c r="BS19" s="112">
        <v>3</v>
      </c>
      <c r="BT19" s="733"/>
      <c r="BU19" s="734"/>
      <c r="BV19" s="734"/>
      <c r="BW19" s="734"/>
      <c r="BX19" s="734"/>
      <c r="BY19" s="735"/>
      <c r="BZ19" s="736"/>
      <c r="CA19" s="736"/>
      <c r="CB19" s="736"/>
      <c r="CC19" s="736"/>
      <c r="CD19" s="736"/>
      <c r="CE19" s="736"/>
      <c r="CF19" s="736"/>
      <c r="CG19" s="736"/>
      <c r="CH19" s="736"/>
      <c r="CI19" s="736"/>
      <c r="CJ19" s="736"/>
      <c r="CK19" s="736"/>
      <c r="CL19" s="736"/>
      <c r="CM19" s="737"/>
      <c r="CN19" s="737"/>
    </row>
    <row r="20" spans="2:92" ht="17.100000000000001" customHeight="1" x14ac:dyDescent="0.25">
      <c r="B20" s="113">
        <v>12</v>
      </c>
      <c r="C20" s="738"/>
      <c r="D20" s="739"/>
      <c r="E20" s="739"/>
      <c r="F20" s="739"/>
      <c r="G20" s="739"/>
      <c r="H20" s="740"/>
      <c r="I20" s="741"/>
      <c r="J20" s="741"/>
      <c r="K20" s="741"/>
      <c r="L20" s="741"/>
      <c r="M20" s="741"/>
      <c r="N20" s="741"/>
      <c r="O20" s="741"/>
      <c r="P20" s="741"/>
      <c r="Q20" s="741"/>
      <c r="R20" s="741"/>
      <c r="S20" s="741"/>
      <c r="T20" s="741"/>
      <c r="U20" s="741"/>
      <c r="V20" s="742"/>
      <c r="W20" s="742"/>
      <c r="Y20" s="113">
        <v>4</v>
      </c>
      <c r="Z20" s="738"/>
      <c r="AA20" s="739"/>
      <c r="AB20" s="739"/>
      <c r="AC20" s="739"/>
      <c r="AD20" s="739"/>
      <c r="AE20" s="740"/>
      <c r="AF20" s="741"/>
      <c r="AG20" s="741"/>
      <c r="AH20" s="741"/>
      <c r="AI20" s="741"/>
      <c r="AJ20" s="741"/>
      <c r="AK20" s="741"/>
      <c r="AL20" s="741"/>
      <c r="AM20" s="741"/>
      <c r="AN20" s="741"/>
      <c r="AO20" s="741"/>
      <c r="AP20" s="741"/>
      <c r="AQ20" s="741"/>
      <c r="AR20" s="741"/>
      <c r="AS20" s="742"/>
      <c r="AT20" s="742"/>
      <c r="AV20" s="113">
        <v>12</v>
      </c>
      <c r="AW20" s="738"/>
      <c r="AX20" s="739"/>
      <c r="AY20" s="739"/>
      <c r="AZ20" s="739"/>
      <c r="BA20" s="739"/>
      <c r="BB20" s="740"/>
      <c r="BC20" s="741"/>
      <c r="BD20" s="741"/>
      <c r="BE20" s="741"/>
      <c r="BF20" s="741"/>
      <c r="BG20" s="741"/>
      <c r="BH20" s="741"/>
      <c r="BI20" s="741"/>
      <c r="BJ20" s="741"/>
      <c r="BK20" s="741"/>
      <c r="BL20" s="741"/>
      <c r="BM20" s="741"/>
      <c r="BN20" s="741"/>
      <c r="BO20" s="741"/>
      <c r="BP20" s="742"/>
      <c r="BQ20" s="742"/>
      <c r="BS20" s="113">
        <v>4</v>
      </c>
      <c r="BT20" s="738"/>
      <c r="BU20" s="739"/>
      <c r="BV20" s="739"/>
      <c r="BW20" s="739"/>
      <c r="BX20" s="739"/>
      <c r="BY20" s="740"/>
      <c r="BZ20" s="741"/>
      <c r="CA20" s="741"/>
      <c r="CB20" s="741"/>
      <c r="CC20" s="741"/>
      <c r="CD20" s="741"/>
      <c r="CE20" s="741"/>
      <c r="CF20" s="741"/>
      <c r="CG20" s="741"/>
      <c r="CH20" s="741"/>
      <c r="CI20" s="741"/>
      <c r="CJ20" s="741"/>
      <c r="CK20" s="741"/>
      <c r="CL20" s="741"/>
      <c r="CM20" s="742"/>
      <c r="CN20" s="742"/>
    </row>
    <row r="21" spans="2:92" ht="17.100000000000001" customHeight="1" x14ac:dyDescent="0.25">
      <c r="B21" s="112">
        <v>13</v>
      </c>
      <c r="C21" s="733"/>
      <c r="D21" s="734"/>
      <c r="E21" s="734"/>
      <c r="F21" s="734"/>
      <c r="G21" s="734"/>
      <c r="H21" s="735"/>
      <c r="I21" s="736"/>
      <c r="J21" s="736"/>
      <c r="K21" s="736"/>
      <c r="L21" s="736"/>
      <c r="M21" s="736"/>
      <c r="N21" s="736"/>
      <c r="O21" s="736"/>
      <c r="P21" s="736"/>
      <c r="Q21" s="736"/>
      <c r="R21" s="736"/>
      <c r="S21" s="736"/>
      <c r="T21" s="736"/>
      <c r="U21" s="736"/>
      <c r="V21" s="737"/>
      <c r="W21" s="737"/>
      <c r="Y21" s="112">
        <v>5</v>
      </c>
      <c r="Z21" s="733"/>
      <c r="AA21" s="734"/>
      <c r="AB21" s="734"/>
      <c r="AC21" s="734"/>
      <c r="AD21" s="734"/>
      <c r="AE21" s="735"/>
      <c r="AF21" s="736"/>
      <c r="AG21" s="736"/>
      <c r="AH21" s="736"/>
      <c r="AI21" s="736"/>
      <c r="AJ21" s="736"/>
      <c r="AK21" s="736"/>
      <c r="AL21" s="736"/>
      <c r="AM21" s="736"/>
      <c r="AN21" s="736"/>
      <c r="AO21" s="736"/>
      <c r="AP21" s="736"/>
      <c r="AQ21" s="736"/>
      <c r="AR21" s="736"/>
      <c r="AS21" s="737"/>
      <c r="AT21" s="737"/>
      <c r="AV21" s="112">
        <v>13</v>
      </c>
      <c r="AW21" s="733"/>
      <c r="AX21" s="734"/>
      <c r="AY21" s="734"/>
      <c r="AZ21" s="734"/>
      <c r="BA21" s="734"/>
      <c r="BB21" s="735"/>
      <c r="BC21" s="736"/>
      <c r="BD21" s="736"/>
      <c r="BE21" s="736"/>
      <c r="BF21" s="736"/>
      <c r="BG21" s="736"/>
      <c r="BH21" s="736"/>
      <c r="BI21" s="736"/>
      <c r="BJ21" s="736"/>
      <c r="BK21" s="736"/>
      <c r="BL21" s="736"/>
      <c r="BM21" s="736"/>
      <c r="BN21" s="736"/>
      <c r="BO21" s="736"/>
      <c r="BP21" s="737"/>
      <c r="BQ21" s="737"/>
      <c r="BS21" s="112">
        <v>5</v>
      </c>
      <c r="BT21" s="733"/>
      <c r="BU21" s="734"/>
      <c r="BV21" s="734"/>
      <c r="BW21" s="734"/>
      <c r="BX21" s="734"/>
      <c r="BY21" s="735"/>
      <c r="BZ21" s="736"/>
      <c r="CA21" s="736"/>
      <c r="CB21" s="736"/>
      <c r="CC21" s="736"/>
      <c r="CD21" s="736"/>
      <c r="CE21" s="736"/>
      <c r="CF21" s="736"/>
      <c r="CG21" s="736"/>
      <c r="CH21" s="736"/>
      <c r="CI21" s="736"/>
      <c r="CJ21" s="736"/>
      <c r="CK21" s="736"/>
      <c r="CL21" s="736"/>
      <c r="CM21" s="737"/>
      <c r="CN21" s="737"/>
    </row>
    <row r="22" spans="2:92" ht="17.100000000000001" customHeight="1" x14ac:dyDescent="0.25">
      <c r="B22" s="113">
        <v>14</v>
      </c>
      <c r="C22" s="738"/>
      <c r="D22" s="739"/>
      <c r="E22" s="739"/>
      <c r="F22" s="739"/>
      <c r="G22" s="739"/>
      <c r="H22" s="740"/>
      <c r="I22" s="741"/>
      <c r="J22" s="741"/>
      <c r="K22" s="741"/>
      <c r="L22" s="741"/>
      <c r="M22" s="741"/>
      <c r="N22" s="741"/>
      <c r="O22" s="741"/>
      <c r="P22" s="741"/>
      <c r="Q22" s="741"/>
      <c r="R22" s="741"/>
      <c r="S22" s="741"/>
      <c r="T22" s="741"/>
      <c r="U22" s="741"/>
      <c r="V22" s="742"/>
      <c r="W22" s="742"/>
      <c r="Y22" s="113">
        <v>6</v>
      </c>
      <c r="Z22" s="738"/>
      <c r="AA22" s="739"/>
      <c r="AB22" s="739"/>
      <c r="AC22" s="739"/>
      <c r="AD22" s="739"/>
      <c r="AE22" s="740"/>
      <c r="AF22" s="741"/>
      <c r="AG22" s="741"/>
      <c r="AH22" s="741"/>
      <c r="AI22" s="741"/>
      <c r="AJ22" s="741"/>
      <c r="AK22" s="741"/>
      <c r="AL22" s="741"/>
      <c r="AM22" s="741"/>
      <c r="AN22" s="741"/>
      <c r="AO22" s="741"/>
      <c r="AP22" s="741"/>
      <c r="AQ22" s="741"/>
      <c r="AR22" s="741"/>
      <c r="AS22" s="742"/>
      <c r="AT22" s="742"/>
      <c r="AV22" s="113">
        <v>14</v>
      </c>
      <c r="AW22" s="738"/>
      <c r="AX22" s="739"/>
      <c r="AY22" s="739"/>
      <c r="AZ22" s="739"/>
      <c r="BA22" s="739"/>
      <c r="BB22" s="740"/>
      <c r="BC22" s="741"/>
      <c r="BD22" s="741"/>
      <c r="BE22" s="741"/>
      <c r="BF22" s="741"/>
      <c r="BG22" s="741"/>
      <c r="BH22" s="741"/>
      <c r="BI22" s="741"/>
      <c r="BJ22" s="741"/>
      <c r="BK22" s="741"/>
      <c r="BL22" s="741"/>
      <c r="BM22" s="741"/>
      <c r="BN22" s="741"/>
      <c r="BO22" s="741"/>
      <c r="BP22" s="742"/>
      <c r="BQ22" s="742"/>
      <c r="BS22" s="113">
        <v>6</v>
      </c>
      <c r="BT22" s="738"/>
      <c r="BU22" s="739"/>
      <c r="BV22" s="739"/>
      <c r="BW22" s="739"/>
      <c r="BX22" s="739"/>
      <c r="BY22" s="740"/>
      <c r="BZ22" s="741"/>
      <c r="CA22" s="741"/>
      <c r="CB22" s="741"/>
      <c r="CC22" s="741"/>
      <c r="CD22" s="741"/>
      <c r="CE22" s="741"/>
      <c r="CF22" s="741"/>
      <c r="CG22" s="741"/>
      <c r="CH22" s="741"/>
      <c r="CI22" s="741"/>
      <c r="CJ22" s="741"/>
      <c r="CK22" s="741"/>
      <c r="CL22" s="741"/>
      <c r="CM22" s="742"/>
      <c r="CN22" s="742"/>
    </row>
    <row r="23" spans="2:92" ht="17.100000000000001" customHeight="1" x14ac:dyDescent="0.25">
      <c r="B23" s="112">
        <v>15</v>
      </c>
      <c r="C23" s="733"/>
      <c r="D23" s="734"/>
      <c r="E23" s="734"/>
      <c r="F23" s="734"/>
      <c r="G23" s="734"/>
      <c r="H23" s="735"/>
      <c r="I23" s="736"/>
      <c r="J23" s="736"/>
      <c r="K23" s="736"/>
      <c r="L23" s="736"/>
      <c r="M23" s="736"/>
      <c r="N23" s="736"/>
      <c r="O23" s="736"/>
      <c r="P23" s="736"/>
      <c r="Q23" s="736"/>
      <c r="R23" s="736"/>
      <c r="S23" s="736"/>
      <c r="T23" s="736"/>
      <c r="U23" s="736"/>
      <c r="V23" s="737"/>
      <c r="W23" s="737"/>
      <c r="Y23" s="112">
        <v>7</v>
      </c>
      <c r="Z23" s="733"/>
      <c r="AA23" s="734"/>
      <c r="AB23" s="734"/>
      <c r="AC23" s="734"/>
      <c r="AD23" s="734"/>
      <c r="AE23" s="735"/>
      <c r="AF23" s="736"/>
      <c r="AG23" s="736"/>
      <c r="AH23" s="736"/>
      <c r="AI23" s="736"/>
      <c r="AJ23" s="736"/>
      <c r="AK23" s="736"/>
      <c r="AL23" s="736"/>
      <c r="AM23" s="736"/>
      <c r="AN23" s="736"/>
      <c r="AO23" s="736"/>
      <c r="AP23" s="736"/>
      <c r="AQ23" s="736"/>
      <c r="AR23" s="736"/>
      <c r="AS23" s="737"/>
      <c r="AT23" s="737"/>
      <c r="AV23" s="112">
        <v>15</v>
      </c>
      <c r="AW23" s="733"/>
      <c r="AX23" s="734"/>
      <c r="AY23" s="734"/>
      <c r="AZ23" s="734"/>
      <c r="BA23" s="734"/>
      <c r="BB23" s="735"/>
      <c r="BC23" s="736"/>
      <c r="BD23" s="736"/>
      <c r="BE23" s="736"/>
      <c r="BF23" s="736"/>
      <c r="BG23" s="736"/>
      <c r="BH23" s="736"/>
      <c r="BI23" s="736"/>
      <c r="BJ23" s="736"/>
      <c r="BK23" s="736"/>
      <c r="BL23" s="736"/>
      <c r="BM23" s="736"/>
      <c r="BN23" s="736"/>
      <c r="BO23" s="736"/>
      <c r="BP23" s="737"/>
      <c r="BQ23" s="737"/>
      <c r="BS23" s="112">
        <v>7</v>
      </c>
      <c r="BT23" s="733"/>
      <c r="BU23" s="734"/>
      <c r="BV23" s="734"/>
      <c r="BW23" s="734"/>
      <c r="BX23" s="734"/>
      <c r="BY23" s="735"/>
      <c r="BZ23" s="736"/>
      <c r="CA23" s="736"/>
      <c r="CB23" s="736"/>
      <c r="CC23" s="736"/>
      <c r="CD23" s="736"/>
      <c r="CE23" s="736"/>
      <c r="CF23" s="736"/>
      <c r="CG23" s="736"/>
      <c r="CH23" s="736"/>
      <c r="CI23" s="736"/>
      <c r="CJ23" s="736"/>
      <c r="CK23" s="736"/>
      <c r="CL23" s="736"/>
      <c r="CM23" s="737"/>
      <c r="CN23" s="737"/>
    </row>
    <row r="24" spans="2:92" ht="17.100000000000001" customHeight="1" x14ac:dyDescent="0.25">
      <c r="B24" s="113">
        <v>16</v>
      </c>
      <c r="C24" s="738"/>
      <c r="D24" s="739"/>
      <c r="E24" s="739"/>
      <c r="F24" s="739"/>
      <c r="G24" s="739"/>
      <c r="H24" s="740"/>
      <c r="I24" s="741"/>
      <c r="J24" s="741"/>
      <c r="K24" s="741"/>
      <c r="L24" s="741"/>
      <c r="M24" s="741"/>
      <c r="N24" s="741"/>
      <c r="O24" s="741"/>
      <c r="P24" s="741"/>
      <c r="Q24" s="741"/>
      <c r="R24" s="741"/>
      <c r="S24" s="741"/>
      <c r="T24" s="741"/>
      <c r="U24" s="741"/>
      <c r="V24" s="742"/>
      <c r="W24" s="742"/>
      <c r="Y24" s="113">
        <v>8</v>
      </c>
      <c r="Z24" s="738"/>
      <c r="AA24" s="739"/>
      <c r="AB24" s="739"/>
      <c r="AC24" s="739"/>
      <c r="AD24" s="739"/>
      <c r="AE24" s="740"/>
      <c r="AF24" s="741"/>
      <c r="AG24" s="741"/>
      <c r="AH24" s="741"/>
      <c r="AI24" s="741"/>
      <c r="AJ24" s="741"/>
      <c r="AK24" s="741"/>
      <c r="AL24" s="741"/>
      <c r="AM24" s="741"/>
      <c r="AN24" s="741"/>
      <c r="AO24" s="741"/>
      <c r="AP24" s="741"/>
      <c r="AQ24" s="741"/>
      <c r="AR24" s="741"/>
      <c r="AS24" s="742"/>
      <c r="AT24" s="742"/>
      <c r="AV24" s="113">
        <v>16</v>
      </c>
      <c r="AW24" s="738"/>
      <c r="AX24" s="739"/>
      <c r="AY24" s="739"/>
      <c r="AZ24" s="739"/>
      <c r="BA24" s="739"/>
      <c r="BB24" s="740"/>
      <c r="BC24" s="741"/>
      <c r="BD24" s="741"/>
      <c r="BE24" s="741"/>
      <c r="BF24" s="741"/>
      <c r="BG24" s="741"/>
      <c r="BH24" s="741"/>
      <c r="BI24" s="741"/>
      <c r="BJ24" s="741"/>
      <c r="BK24" s="741"/>
      <c r="BL24" s="741"/>
      <c r="BM24" s="741"/>
      <c r="BN24" s="741"/>
      <c r="BO24" s="741"/>
      <c r="BP24" s="742"/>
      <c r="BQ24" s="742"/>
      <c r="BS24" s="113">
        <v>8</v>
      </c>
      <c r="BT24" s="738"/>
      <c r="BU24" s="739"/>
      <c r="BV24" s="739"/>
      <c r="BW24" s="739"/>
      <c r="BX24" s="739"/>
      <c r="BY24" s="740"/>
      <c r="BZ24" s="741"/>
      <c r="CA24" s="741"/>
      <c r="CB24" s="741"/>
      <c r="CC24" s="741"/>
      <c r="CD24" s="741"/>
      <c r="CE24" s="741"/>
      <c r="CF24" s="741"/>
      <c r="CG24" s="741"/>
      <c r="CH24" s="741"/>
      <c r="CI24" s="741"/>
      <c r="CJ24" s="741"/>
      <c r="CK24" s="741"/>
      <c r="CL24" s="741"/>
      <c r="CM24" s="742"/>
      <c r="CN24" s="742"/>
    </row>
    <row r="25" spans="2:92" ht="17.100000000000001" customHeight="1" x14ac:dyDescent="0.25">
      <c r="B25" s="112">
        <v>17</v>
      </c>
      <c r="C25" s="733"/>
      <c r="D25" s="734"/>
      <c r="E25" s="734"/>
      <c r="F25" s="734"/>
      <c r="G25" s="734"/>
      <c r="H25" s="735"/>
      <c r="I25" s="736"/>
      <c r="J25" s="736"/>
      <c r="K25" s="736"/>
      <c r="L25" s="736"/>
      <c r="M25" s="736"/>
      <c r="N25" s="736"/>
      <c r="O25" s="736"/>
      <c r="P25" s="736"/>
      <c r="Q25" s="736"/>
      <c r="R25" s="736"/>
      <c r="S25" s="736"/>
      <c r="T25" s="736"/>
      <c r="U25" s="736"/>
      <c r="V25" s="737"/>
      <c r="W25" s="737"/>
      <c r="Y25" s="112">
        <v>9</v>
      </c>
      <c r="Z25" s="733"/>
      <c r="AA25" s="734"/>
      <c r="AB25" s="734"/>
      <c r="AC25" s="734"/>
      <c r="AD25" s="734"/>
      <c r="AE25" s="735"/>
      <c r="AF25" s="736"/>
      <c r="AG25" s="736"/>
      <c r="AH25" s="736"/>
      <c r="AI25" s="736"/>
      <c r="AJ25" s="736"/>
      <c r="AK25" s="736"/>
      <c r="AL25" s="736"/>
      <c r="AM25" s="736"/>
      <c r="AN25" s="736"/>
      <c r="AO25" s="736"/>
      <c r="AP25" s="736"/>
      <c r="AQ25" s="736"/>
      <c r="AR25" s="736"/>
      <c r="AS25" s="737"/>
      <c r="AT25" s="737"/>
      <c r="AV25" s="112">
        <v>17</v>
      </c>
      <c r="AW25" s="733"/>
      <c r="AX25" s="734"/>
      <c r="AY25" s="734"/>
      <c r="AZ25" s="734"/>
      <c r="BA25" s="734"/>
      <c r="BB25" s="735"/>
      <c r="BC25" s="736"/>
      <c r="BD25" s="736"/>
      <c r="BE25" s="736"/>
      <c r="BF25" s="736"/>
      <c r="BG25" s="736"/>
      <c r="BH25" s="736"/>
      <c r="BI25" s="736"/>
      <c r="BJ25" s="736"/>
      <c r="BK25" s="736"/>
      <c r="BL25" s="736"/>
      <c r="BM25" s="736"/>
      <c r="BN25" s="736"/>
      <c r="BO25" s="736"/>
      <c r="BP25" s="737"/>
      <c r="BQ25" s="737"/>
      <c r="BS25" s="112">
        <v>9</v>
      </c>
      <c r="BT25" s="733"/>
      <c r="BU25" s="734"/>
      <c r="BV25" s="734"/>
      <c r="BW25" s="734"/>
      <c r="BX25" s="734"/>
      <c r="BY25" s="735"/>
      <c r="BZ25" s="736"/>
      <c r="CA25" s="736"/>
      <c r="CB25" s="736"/>
      <c r="CC25" s="736"/>
      <c r="CD25" s="736"/>
      <c r="CE25" s="736"/>
      <c r="CF25" s="736"/>
      <c r="CG25" s="736"/>
      <c r="CH25" s="736"/>
      <c r="CI25" s="736"/>
      <c r="CJ25" s="736"/>
      <c r="CK25" s="736"/>
      <c r="CL25" s="736"/>
      <c r="CM25" s="737"/>
      <c r="CN25" s="737"/>
    </row>
    <row r="26" spans="2:92" ht="17.100000000000001" customHeight="1" x14ac:dyDescent="0.25">
      <c r="B26" s="113">
        <v>18</v>
      </c>
      <c r="C26" s="738"/>
      <c r="D26" s="739"/>
      <c r="E26" s="739"/>
      <c r="F26" s="739"/>
      <c r="G26" s="739"/>
      <c r="H26" s="740"/>
      <c r="I26" s="741"/>
      <c r="J26" s="741"/>
      <c r="K26" s="741"/>
      <c r="L26" s="741"/>
      <c r="M26" s="741"/>
      <c r="N26" s="741"/>
      <c r="O26" s="741"/>
      <c r="P26" s="741"/>
      <c r="Q26" s="741"/>
      <c r="R26" s="741"/>
      <c r="S26" s="741"/>
      <c r="T26" s="741"/>
      <c r="U26" s="741"/>
      <c r="V26" s="742"/>
      <c r="W26" s="742"/>
      <c r="Y26" s="113">
        <v>10</v>
      </c>
      <c r="Z26" s="738"/>
      <c r="AA26" s="739"/>
      <c r="AB26" s="739"/>
      <c r="AC26" s="739"/>
      <c r="AD26" s="739"/>
      <c r="AE26" s="740"/>
      <c r="AF26" s="741"/>
      <c r="AG26" s="741"/>
      <c r="AH26" s="741"/>
      <c r="AI26" s="741"/>
      <c r="AJ26" s="741"/>
      <c r="AK26" s="741"/>
      <c r="AL26" s="741"/>
      <c r="AM26" s="741"/>
      <c r="AN26" s="741"/>
      <c r="AO26" s="741"/>
      <c r="AP26" s="741"/>
      <c r="AQ26" s="741"/>
      <c r="AR26" s="741"/>
      <c r="AS26" s="742"/>
      <c r="AT26" s="742"/>
      <c r="AV26" s="113">
        <v>18</v>
      </c>
      <c r="AW26" s="738"/>
      <c r="AX26" s="739"/>
      <c r="AY26" s="739"/>
      <c r="AZ26" s="739"/>
      <c r="BA26" s="739"/>
      <c r="BB26" s="740"/>
      <c r="BC26" s="741"/>
      <c r="BD26" s="741"/>
      <c r="BE26" s="741"/>
      <c r="BF26" s="741"/>
      <c r="BG26" s="741"/>
      <c r="BH26" s="741"/>
      <c r="BI26" s="741"/>
      <c r="BJ26" s="741"/>
      <c r="BK26" s="741"/>
      <c r="BL26" s="741"/>
      <c r="BM26" s="741"/>
      <c r="BN26" s="741"/>
      <c r="BO26" s="741"/>
      <c r="BP26" s="742"/>
      <c r="BQ26" s="742"/>
      <c r="BS26" s="113">
        <v>10</v>
      </c>
      <c r="BT26" s="738"/>
      <c r="BU26" s="739"/>
      <c r="BV26" s="739"/>
      <c r="BW26" s="739"/>
      <c r="BX26" s="739"/>
      <c r="BY26" s="740"/>
      <c r="BZ26" s="741"/>
      <c r="CA26" s="741"/>
      <c r="CB26" s="741"/>
      <c r="CC26" s="741"/>
      <c r="CD26" s="741"/>
      <c r="CE26" s="741"/>
      <c r="CF26" s="741"/>
      <c r="CG26" s="741"/>
      <c r="CH26" s="741"/>
      <c r="CI26" s="741"/>
      <c r="CJ26" s="741"/>
      <c r="CK26" s="741"/>
      <c r="CL26" s="741"/>
      <c r="CM26" s="742"/>
      <c r="CN26" s="742"/>
    </row>
    <row r="27" spans="2:92" ht="17.100000000000001" customHeight="1" x14ac:dyDescent="0.25">
      <c r="B27" s="112">
        <v>19</v>
      </c>
      <c r="C27" s="733"/>
      <c r="D27" s="734"/>
      <c r="E27" s="734"/>
      <c r="F27" s="734"/>
      <c r="G27" s="734"/>
      <c r="H27" s="735"/>
      <c r="I27" s="736"/>
      <c r="J27" s="736"/>
      <c r="K27" s="736"/>
      <c r="L27" s="736"/>
      <c r="M27" s="736"/>
      <c r="N27" s="736"/>
      <c r="O27" s="736"/>
      <c r="P27" s="736"/>
      <c r="Q27" s="736"/>
      <c r="R27" s="736"/>
      <c r="S27" s="736"/>
      <c r="T27" s="736"/>
      <c r="U27" s="736"/>
      <c r="V27" s="737"/>
      <c r="W27" s="737"/>
      <c r="Y27" s="112">
        <v>11</v>
      </c>
      <c r="Z27" s="733"/>
      <c r="AA27" s="734"/>
      <c r="AB27" s="734"/>
      <c r="AC27" s="734"/>
      <c r="AD27" s="734"/>
      <c r="AE27" s="735"/>
      <c r="AF27" s="736"/>
      <c r="AG27" s="736"/>
      <c r="AH27" s="736"/>
      <c r="AI27" s="736"/>
      <c r="AJ27" s="736"/>
      <c r="AK27" s="736"/>
      <c r="AL27" s="736"/>
      <c r="AM27" s="736"/>
      <c r="AN27" s="736"/>
      <c r="AO27" s="736"/>
      <c r="AP27" s="736"/>
      <c r="AQ27" s="736"/>
      <c r="AR27" s="736"/>
      <c r="AS27" s="737"/>
      <c r="AT27" s="737"/>
      <c r="AV27" s="112">
        <v>19</v>
      </c>
      <c r="AW27" s="733"/>
      <c r="AX27" s="734"/>
      <c r="AY27" s="734"/>
      <c r="AZ27" s="734"/>
      <c r="BA27" s="734"/>
      <c r="BB27" s="735"/>
      <c r="BC27" s="736"/>
      <c r="BD27" s="736"/>
      <c r="BE27" s="736"/>
      <c r="BF27" s="736"/>
      <c r="BG27" s="736"/>
      <c r="BH27" s="736"/>
      <c r="BI27" s="736"/>
      <c r="BJ27" s="736"/>
      <c r="BK27" s="736"/>
      <c r="BL27" s="736"/>
      <c r="BM27" s="736"/>
      <c r="BN27" s="736"/>
      <c r="BO27" s="736"/>
      <c r="BP27" s="737"/>
      <c r="BQ27" s="737"/>
      <c r="BS27" s="112">
        <v>11</v>
      </c>
      <c r="BT27" s="733"/>
      <c r="BU27" s="734"/>
      <c r="BV27" s="734"/>
      <c r="BW27" s="734"/>
      <c r="BX27" s="734"/>
      <c r="BY27" s="735"/>
      <c r="BZ27" s="736"/>
      <c r="CA27" s="736"/>
      <c r="CB27" s="736"/>
      <c r="CC27" s="736"/>
      <c r="CD27" s="736"/>
      <c r="CE27" s="736"/>
      <c r="CF27" s="736"/>
      <c r="CG27" s="736"/>
      <c r="CH27" s="736"/>
      <c r="CI27" s="736"/>
      <c r="CJ27" s="736"/>
      <c r="CK27" s="736"/>
      <c r="CL27" s="736"/>
      <c r="CM27" s="737"/>
      <c r="CN27" s="737"/>
    </row>
    <row r="28" spans="2:92" ht="17.100000000000001" customHeight="1" x14ac:dyDescent="0.25">
      <c r="B28" s="113">
        <v>20</v>
      </c>
      <c r="C28" s="738"/>
      <c r="D28" s="739"/>
      <c r="E28" s="739"/>
      <c r="F28" s="739"/>
      <c r="G28" s="739"/>
      <c r="H28" s="740"/>
      <c r="I28" s="741"/>
      <c r="J28" s="741"/>
      <c r="K28" s="741"/>
      <c r="L28" s="741"/>
      <c r="M28" s="741"/>
      <c r="N28" s="741"/>
      <c r="O28" s="741"/>
      <c r="P28" s="741"/>
      <c r="Q28" s="741"/>
      <c r="R28" s="741"/>
      <c r="S28" s="741"/>
      <c r="T28" s="741"/>
      <c r="U28" s="741"/>
      <c r="V28" s="742"/>
      <c r="W28" s="742"/>
      <c r="Y28" s="113">
        <v>12</v>
      </c>
      <c r="Z28" s="738"/>
      <c r="AA28" s="739"/>
      <c r="AB28" s="739"/>
      <c r="AC28" s="739"/>
      <c r="AD28" s="739"/>
      <c r="AE28" s="740"/>
      <c r="AF28" s="741"/>
      <c r="AG28" s="741"/>
      <c r="AH28" s="741"/>
      <c r="AI28" s="741"/>
      <c r="AJ28" s="741"/>
      <c r="AK28" s="741"/>
      <c r="AL28" s="741"/>
      <c r="AM28" s="741"/>
      <c r="AN28" s="741"/>
      <c r="AO28" s="741"/>
      <c r="AP28" s="741"/>
      <c r="AQ28" s="741"/>
      <c r="AR28" s="741"/>
      <c r="AS28" s="742"/>
      <c r="AT28" s="742"/>
      <c r="AV28" s="113">
        <v>20</v>
      </c>
      <c r="AW28" s="738"/>
      <c r="AX28" s="739"/>
      <c r="AY28" s="739"/>
      <c r="AZ28" s="739"/>
      <c r="BA28" s="739"/>
      <c r="BB28" s="740"/>
      <c r="BC28" s="741"/>
      <c r="BD28" s="741"/>
      <c r="BE28" s="741"/>
      <c r="BF28" s="741"/>
      <c r="BG28" s="741"/>
      <c r="BH28" s="741"/>
      <c r="BI28" s="741"/>
      <c r="BJ28" s="741"/>
      <c r="BK28" s="741"/>
      <c r="BL28" s="741"/>
      <c r="BM28" s="741"/>
      <c r="BN28" s="741"/>
      <c r="BO28" s="741"/>
      <c r="BP28" s="742"/>
      <c r="BQ28" s="742"/>
      <c r="BS28" s="113">
        <v>12</v>
      </c>
      <c r="BT28" s="738"/>
      <c r="BU28" s="739"/>
      <c r="BV28" s="739"/>
      <c r="BW28" s="739"/>
      <c r="BX28" s="739"/>
      <c r="BY28" s="740"/>
      <c r="BZ28" s="741"/>
      <c r="CA28" s="741"/>
      <c r="CB28" s="741"/>
      <c r="CC28" s="741"/>
      <c r="CD28" s="741"/>
      <c r="CE28" s="741"/>
      <c r="CF28" s="741"/>
      <c r="CG28" s="741"/>
      <c r="CH28" s="741"/>
      <c r="CI28" s="741"/>
      <c r="CJ28" s="741"/>
      <c r="CK28" s="741"/>
      <c r="CL28" s="741"/>
      <c r="CM28" s="742"/>
      <c r="CN28" s="742"/>
    </row>
    <row r="29" spans="2:92" ht="17.100000000000001" customHeight="1" x14ac:dyDescent="0.25">
      <c r="B29" s="112">
        <v>21</v>
      </c>
      <c r="C29" s="733"/>
      <c r="D29" s="734"/>
      <c r="E29" s="734"/>
      <c r="F29" s="734"/>
      <c r="G29" s="734"/>
      <c r="H29" s="735"/>
      <c r="I29" s="736"/>
      <c r="J29" s="736"/>
      <c r="K29" s="736"/>
      <c r="L29" s="736"/>
      <c r="M29" s="736"/>
      <c r="N29" s="736"/>
      <c r="O29" s="736"/>
      <c r="P29" s="736"/>
      <c r="Q29" s="736"/>
      <c r="R29" s="736"/>
      <c r="S29" s="736"/>
      <c r="T29" s="736"/>
      <c r="U29" s="736"/>
      <c r="V29" s="737"/>
      <c r="W29" s="737"/>
      <c r="Y29" s="112">
        <v>13</v>
      </c>
      <c r="Z29" s="733"/>
      <c r="AA29" s="734"/>
      <c r="AB29" s="734"/>
      <c r="AC29" s="734"/>
      <c r="AD29" s="734"/>
      <c r="AE29" s="735"/>
      <c r="AF29" s="736"/>
      <c r="AG29" s="736"/>
      <c r="AH29" s="736"/>
      <c r="AI29" s="736"/>
      <c r="AJ29" s="736"/>
      <c r="AK29" s="736"/>
      <c r="AL29" s="736"/>
      <c r="AM29" s="736"/>
      <c r="AN29" s="736"/>
      <c r="AO29" s="736"/>
      <c r="AP29" s="736"/>
      <c r="AQ29" s="736"/>
      <c r="AR29" s="736"/>
      <c r="AS29" s="737"/>
      <c r="AT29" s="737"/>
      <c r="AV29" s="112">
        <v>21</v>
      </c>
      <c r="AW29" s="733"/>
      <c r="AX29" s="734"/>
      <c r="AY29" s="734"/>
      <c r="AZ29" s="734"/>
      <c r="BA29" s="734"/>
      <c r="BB29" s="735"/>
      <c r="BC29" s="736"/>
      <c r="BD29" s="736"/>
      <c r="BE29" s="736"/>
      <c r="BF29" s="736"/>
      <c r="BG29" s="736"/>
      <c r="BH29" s="736"/>
      <c r="BI29" s="736"/>
      <c r="BJ29" s="736"/>
      <c r="BK29" s="736"/>
      <c r="BL29" s="736"/>
      <c r="BM29" s="736"/>
      <c r="BN29" s="736"/>
      <c r="BO29" s="736"/>
      <c r="BP29" s="737"/>
      <c r="BQ29" s="737"/>
      <c r="BS29" s="112">
        <v>13</v>
      </c>
      <c r="BT29" s="733"/>
      <c r="BU29" s="734"/>
      <c r="BV29" s="734"/>
      <c r="BW29" s="734"/>
      <c r="BX29" s="734"/>
      <c r="BY29" s="735"/>
      <c r="BZ29" s="736"/>
      <c r="CA29" s="736"/>
      <c r="CB29" s="736"/>
      <c r="CC29" s="736"/>
      <c r="CD29" s="736"/>
      <c r="CE29" s="736"/>
      <c r="CF29" s="736"/>
      <c r="CG29" s="736"/>
      <c r="CH29" s="736"/>
      <c r="CI29" s="736"/>
      <c r="CJ29" s="736"/>
      <c r="CK29" s="736"/>
      <c r="CL29" s="736"/>
      <c r="CM29" s="737"/>
      <c r="CN29" s="737"/>
    </row>
    <row r="30" spans="2:92" ht="17.100000000000001" customHeight="1" x14ac:dyDescent="0.25">
      <c r="B30" s="113">
        <v>22</v>
      </c>
      <c r="C30" s="738"/>
      <c r="D30" s="739"/>
      <c r="E30" s="739"/>
      <c r="F30" s="739"/>
      <c r="G30" s="739"/>
      <c r="H30" s="740"/>
      <c r="I30" s="741"/>
      <c r="J30" s="741"/>
      <c r="K30" s="741"/>
      <c r="L30" s="741"/>
      <c r="M30" s="741"/>
      <c r="N30" s="741"/>
      <c r="O30" s="741"/>
      <c r="P30" s="741"/>
      <c r="Q30" s="741"/>
      <c r="R30" s="741"/>
      <c r="S30" s="741"/>
      <c r="T30" s="741"/>
      <c r="U30" s="741"/>
      <c r="V30" s="742"/>
      <c r="W30" s="742"/>
      <c r="Y30" s="113">
        <v>14</v>
      </c>
      <c r="Z30" s="738"/>
      <c r="AA30" s="739"/>
      <c r="AB30" s="739"/>
      <c r="AC30" s="739"/>
      <c r="AD30" s="739"/>
      <c r="AE30" s="740"/>
      <c r="AF30" s="741"/>
      <c r="AG30" s="741"/>
      <c r="AH30" s="741"/>
      <c r="AI30" s="741"/>
      <c r="AJ30" s="741"/>
      <c r="AK30" s="741"/>
      <c r="AL30" s="741"/>
      <c r="AM30" s="741"/>
      <c r="AN30" s="741"/>
      <c r="AO30" s="741"/>
      <c r="AP30" s="741"/>
      <c r="AQ30" s="741"/>
      <c r="AR30" s="741"/>
      <c r="AS30" s="742"/>
      <c r="AT30" s="742"/>
      <c r="AV30" s="113">
        <v>22</v>
      </c>
      <c r="AW30" s="738"/>
      <c r="AX30" s="739"/>
      <c r="AY30" s="739"/>
      <c r="AZ30" s="739"/>
      <c r="BA30" s="739"/>
      <c r="BB30" s="740"/>
      <c r="BC30" s="741"/>
      <c r="BD30" s="741"/>
      <c r="BE30" s="741"/>
      <c r="BF30" s="741"/>
      <c r="BG30" s="741"/>
      <c r="BH30" s="741"/>
      <c r="BI30" s="741"/>
      <c r="BJ30" s="741"/>
      <c r="BK30" s="741"/>
      <c r="BL30" s="741"/>
      <c r="BM30" s="741"/>
      <c r="BN30" s="741"/>
      <c r="BO30" s="741"/>
      <c r="BP30" s="742"/>
      <c r="BQ30" s="742"/>
      <c r="BS30" s="113">
        <v>14</v>
      </c>
      <c r="BT30" s="738"/>
      <c r="BU30" s="739"/>
      <c r="BV30" s="739"/>
      <c r="BW30" s="739"/>
      <c r="BX30" s="739"/>
      <c r="BY30" s="740"/>
      <c r="BZ30" s="741"/>
      <c r="CA30" s="741"/>
      <c r="CB30" s="741"/>
      <c r="CC30" s="741"/>
      <c r="CD30" s="741"/>
      <c r="CE30" s="741"/>
      <c r="CF30" s="741"/>
      <c r="CG30" s="741"/>
      <c r="CH30" s="741"/>
      <c r="CI30" s="741"/>
      <c r="CJ30" s="741"/>
      <c r="CK30" s="741"/>
      <c r="CL30" s="741"/>
      <c r="CM30" s="742"/>
      <c r="CN30" s="742"/>
    </row>
    <row r="31" spans="2:92" ht="17.100000000000001" customHeight="1" x14ac:dyDescent="0.25">
      <c r="B31" s="112">
        <v>23</v>
      </c>
      <c r="C31" s="733"/>
      <c r="D31" s="734"/>
      <c r="E31" s="734"/>
      <c r="F31" s="734"/>
      <c r="G31" s="734"/>
      <c r="H31" s="735"/>
      <c r="I31" s="736"/>
      <c r="J31" s="736"/>
      <c r="K31" s="736"/>
      <c r="L31" s="736"/>
      <c r="M31" s="736"/>
      <c r="N31" s="736"/>
      <c r="O31" s="736"/>
      <c r="P31" s="736"/>
      <c r="Q31" s="736"/>
      <c r="R31" s="736"/>
      <c r="S31" s="736"/>
      <c r="T31" s="736"/>
      <c r="U31" s="736"/>
      <c r="V31" s="737"/>
      <c r="W31" s="737"/>
      <c r="Y31" s="112">
        <v>15</v>
      </c>
      <c r="Z31" s="733"/>
      <c r="AA31" s="734"/>
      <c r="AB31" s="734"/>
      <c r="AC31" s="734"/>
      <c r="AD31" s="734"/>
      <c r="AE31" s="735"/>
      <c r="AF31" s="736"/>
      <c r="AG31" s="736"/>
      <c r="AH31" s="736"/>
      <c r="AI31" s="736"/>
      <c r="AJ31" s="736"/>
      <c r="AK31" s="736"/>
      <c r="AL31" s="736"/>
      <c r="AM31" s="736"/>
      <c r="AN31" s="736"/>
      <c r="AO31" s="736"/>
      <c r="AP31" s="736"/>
      <c r="AQ31" s="736"/>
      <c r="AR31" s="736"/>
      <c r="AS31" s="737"/>
      <c r="AT31" s="737"/>
      <c r="AV31" s="112">
        <v>23</v>
      </c>
      <c r="AW31" s="733"/>
      <c r="AX31" s="734"/>
      <c r="AY31" s="734"/>
      <c r="AZ31" s="734"/>
      <c r="BA31" s="734"/>
      <c r="BB31" s="735"/>
      <c r="BC31" s="736"/>
      <c r="BD31" s="736"/>
      <c r="BE31" s="736"/>
      <c r="BF31" s="736"/>
      <c r="BG31" s="736"/>
      <c r="BH31" s="736"/>
      <c r="BI31" s="736"/>
      <c r="BJ31" s="736"/>
      <c r="BK31" s="736"/>
      <c r="BL31" s="736"/>
      <c r="BM31" s="736"/>
      <c r="BN31" s="736"/>
      <c r="BO31" s="736"/>
      <c r="BP31" s="737"/>
      <c r="BQ31" s="737"/>
      <c r="BS31" s="112">
        <v>15</v>
      </c>
      <c r="BT31" s="733"/>
      <c r="BU31" s="734"/>
      <c r="BV31" s="734"/>
      <c r="BW31" s="734"/>
      <c r="BX31" s="734"/>
      <c r="BY31" s="735"/>
      <c r="BZ31" s="736"/>
      <c r="CA31" s="736"/>
      <c r="CB31" s="736"/>
      <c r="CC31" s="736"/>
      <c r="CD31" s="736"/>
      <c r="CE31" s="736"/>
      <c r="CF31" s="736"/>
      <c r="CG31" s="736"/>
      <c r="CH31" s="736"/>
      <c r="CI31" s="736"/>
      <c r="CJ31" s="736"/>
      <c r="CK31" s="736"/>
      <c r="CL31" s="736"/>
      <c r="CM31" s="737"/>
      <c r="CN31" s="737"/>
    </row>
    <row r="32" spans="2:92" ht="17.100000000000001" customHeight="1" x14ac:dyDescent="0.25">
      <c r="B32" s="113">
        <v>24</v>
      </c>
      <c r="C32" s="738"/>
      <c r="D32" s="739"/>
      <c r="E32" s="739"/>
      <c r="F32" s="739"/>
      <c r="G32" s="739"/>
      <c r="H32" s="740"/>
      <c r="I32" s="741"/>
      <c r="J32" s="741"/>
      <c r="K32" s="741"/>
      <c r="L32" s="741"/>
      <c r="M32" s="741"/>
      <c r="N32" s="741"/>
      <c r="O32" s="741"/>
      <c r="P32" s="741"/>
      <c r="Q32" s="741"/>
      <c r="R32" s="741"/>
      <c r="S32" s="741"/>
      <c r="T32" s="741"/>
      <c r="U32" s="741"/>
      <c r="V32" s="742"/>
      <c r="W32" s="742"/>
      <c r="AV32" s="113">
        <v>24</v>
      </c>
      <c r="AW32" s="738"/>
      <c r="AX32" s="739"/>
      <c r="AY32" s="739"/>
      <c r="AZ32" s="739"/>
      <c r="BA32" s="739"/>
      <c r="BB32" s="740"/>
      <c r="BC32" s="741"/>
      <c r="BD32" s="741"/>
      <c r="BE32" s="741"/>
      <c r="BF32" s="741"/>
      <c r="BG32" s="741"/>
      <c r="BH32" s="741"/>
      <c r="BI32" s="741"/>
      <c r="BJ32" s="741"/>
      <c r="BK32" s="741"/>
      <c r="BL32" s="741"/>
      <c r="BM32" s="741"/>
      <c r="BN32" s="741"/>
      <c r="BO32" s="741"/>
      <c r="BP32" s="742"/>
      <c r="BQ32" s="742"/>
    </row>
    <row r="33" spans="2:69" ht="17.100000000000001" customHeight="1" x14ac:dyDescent="0.25">
      <c r="B33" s="112">
        <v>25</v>
      </c>
      <c r="C33" s="733"/>
      <c r="D33" s="734"/>
      <c r="E33" s="734"/>
      <c r="F33" s="734"/>
      <c r="G33" s="734"/>
      <c r="H33" s="735"/>
      <c r="I33" s="736"/>
      <c r="J33" s="736"/>
      <c r="K33" s="736"/>
      <c r="L33" s="736"/>
      <c r="M33" s="736"/>
      <c r="N33" s="736"/>
      <c r="O33" s="736"/>
      <c r="P33" s="736"/>
      <c r="Q33" s="736"/>
      <c r="R33" s="736"/>
      <c r="S33" s="736"/>
      <c r="T33" s="736"/>
      <c r="U33" s="736"/>
      <c r="V33" s="737"/>
      <c r="W33" s="737"/>
      <c r="AV33" s="112">
        <v>25</v>
      </c>
      <c r="AW33" s="733"/>
      <c r="AX33" s="734"/>
      <c r="AY33" s="734"/>
      <c r="AZ33" s="734"/>
      <c r="BA33" s="734"/>
      <c r="BB33" s="735"/>
      <c r="BC33" s="736"/>
      <c r="BD33" s="736"/>
      <c r="BE33" s="736"/>
      <c r="BF33" s="736"/>
      <c r="BG33" s="736"/>
      <c r="BH33" s="736"/>
      <c r="BI33" s="736"/>
      <c r="BJ33" s="736"/>
      <c r="BK33" s="736"/>
      <c r="BL33" s="736"/>
      <c r="BM33" s="736"/>
      <c r="BN33" s="736"/>
      <c r="BO33" s="736"/>
      <c r="BP33" s="737"/>
      <c r="BQ33" s="737"/>
    </row>
    <row r="34" spans="2:69" ht="17.100000000000001" customHeight="1" x14ac:dyDescent="0.25">
      <c r="B34" s="113">
        <v>26</v>
      </c>
      <c r="C34" s="738"/>
      <c r="D34" s="739"/>
      <c r="E34" s="739"/>
      <c r="F34" s="739"/>
      <c r="G34" s="739"/>
      <c r="H34" s="740"/>
      <c r="I34" s="741"/>
      <c r="J34" s="741"/>
      <c r="K34" s="741"/>
      <c r="L34" s="741"/>
      <c r="M34" s="741"/>
      <c r="N34" s="741"/>
      <c r="O34" s="741"/>
      <c r="P34" s="741"/>
      <c r="Q34" s="741"/>
      <c r="R34" s="741"/>
      <c r="S34" s="741"/>
      <c r="T34" s="741"/>
      <c r="U34" s="741"/>
      <c r="V34" s="742"/>
      <c r="W34" s="742"/>
      <c r="AV34" s="113">
        <v>26</v>
      </c>
      <c r="AW34" s="738"/>
      <c r="AX34" s="739"/>
      <c r="AY34" s="739"/>
      <c r="AZ34" s="739"/>
      <c r="BA34" s="739"/>
      <c r="BB34" s="740"/>
      <c r="BC34" s="741"/>
      <c r="BD34" s="741"/>
      <c r="BE34" s="741"/>
      <c r="BF34" s="741"/>
      <c r="BG34" s="741"/>
      <c r="BH34" s="741"/>
      <c r="BI34" s="741"/>
      <c r="BJ34" s="741"/>
      <c r="BK34" s="741"/>
      <c r="BL34" s="741"/>
      <c r="BM34" s="741"/>
      <c r="BN34" s="741"/>
      <c r="BO34" s="741"/>
      <c r="BP34" s="742"/>
      <c r="BQ34" s="742"/>
    </row>
    <row r="35" spans="2:69" ht="17.100000000000001" customHeight="1" x14ac:dyDescent="0.25">
      <c r="B35" s="112">
        <v>27</v>
      </c>
      <c r="C35" s="733"/>
      <c r="D35" s="734"/>
      <c r="E35" s="734"/>
      <c r="F35" s="734"/>
      <c r="G35" s="734"/>
      <c r="H35" s="735"/>
      <c r="I35" s="736"/>
      <c r="J35" s="736"/>
      <c r="K35" s="736"/>
      <c r="L35" s="736"/>
      <c r="M35" s="736"/>
      <c r="N35" s="736"/>
      <c r="O35" s="736"/>
      <c r="P35" s="736"/>
      <c r="Q35" s="736"/>
      <c r="R35" s="736"/>
      <c r="S35" s="736"/>
      <c r="T35" s="736"/>
      <c r="U35" s="736"/>
      <c r="V35" s="737"/>
      <c r="W35" s="737"/>
      <c r="AV35" s="112">
        <v>27</v>
      </c>
      <c r="AW35" s="733"/>
      <c r="AX35" s="734"/>
      <c r="AY35" s="734"/>
      <c r="AZ35" s="734"/>
      <c r="BA35" s="734"/>
      <c r="BB35" s="735"/>
      <c r="BC35" s="736"/>
      <c r="BD35" s="736"/>
      <c r="BE35" s="736"/>
      <c r="BF35" s="736"/>
      <c r="BG35" s="736"/>
      <c r="BH35" s="736"/>
      <c r="BI35" s="736"/>
      <c r="BJ35" s="736"/>
      <c r="BK35" s="736"/>
      <c r="BL35" s="736"/>
      <c r="BM35" s="736"/>
      <c r="BN35" s="736"/>
      <c r="BO35" s="736"/>
      <c r="BP35" s="737"/>
      <c r="BQ35" s="737"/>
    </row>
    <row r="36" spans="2:69" ht="17.100000000000001" customHeight="1" x14ac:dyDescent="0.25">
      <c r="B36" s="113">
        <v>28</v>
      </c>
      <c r="C36" s="738"/>
      <c r="D36" s="739"/>
      <c r="E36" s="739"/>
      <c r="F36" s="739"/>
      <c r="G36" s="739"/>
      <c r="H36" s="740"/>
      <c r="I36" s="741"/>
      <c r="J36" s="741"/>
      <c r="K36" s="741"/>
      <c r="L36" s="741"/>
      <c r="M36" s="741"/>
      <c r="N36" s="741"/>
      <c r="O36" s="741"/>
      <c r="P36" s="741"/>
      <c r="Q36" s="741"/>
      <c r="R36" s="741"/>
      <c r="S36" s="741"/>
      <c r="T36" s="741"/>
      <c r="U36" s="741"/>
      <c r="V36" s="742"/>
      <c r="W36" s="742"/>
      <c r="AV36" s="113">
        <v>28</v>
      </c>
      <c r="AW36" s="738"/>
      <c r="AX36" s="739"/>
      <c r="AY36" s="739"/>
      <c r="AZ36" s="739"/>
      <c r="BA36" s="739"/>
      <c r="BB36" s="740"/>
      <c r="BC36" s="741"/>
      <c r="BD36" s="741"/>
      <c r="BE36" s="741"/>
      <c r="BF36" s="741"/>
      <c r="BG36" s="741"/>
      <c r="BH36" s="741"/>
      <c r="BI36" s="741"/>
      <c r="BJ36" s="741"/>
      <c r="BK36" s="741"/>
      <c r="BL36" s="741"/>
      <c r="BM36" s="741"/>
      <c r="BN36" s="741"/>
      <c r="BO36" s="741"/>
      <c r="BP36" s="742"/>
      <c r="BQ36" s="742"/>
    </row>
    <row r="37" spans="2:69" ht="17.100000000000001" customHeight="1" x14ac:dyDescent="0.25">
      <c r="B37" s="112">
        <v>29</v>
      </c>
      <c r="C37" s="733"/>
      <c r="D37" s="734"/>
      <c r="E37" s="734"/>
      <c r="F37" s="734"/>
      <c r="G37" s="734"/>
      <c r="H37" s="735"/>
      <c r="I37" s="736"/>
      <c r="J37" s="736"/>
      <c r="K37" s="736"/>
      <c r="L37" s="736"/>
      <c r="M37" s="736"/>
      <c r="N37" s="736"/>
      <c r="O37" s="736"/>
      <c r="P37" s="736"/>
      <c r="Q37" s="736"/>
      <c r="R37" s="736"/>
      <c r="S37" s="736"/>
      <c r="T37" s="736"/>
      <c r="U37" s="736"/>
      <c r="V37" s="737"/>
      <c r="W37" s="737"/>
      <c r="AV37" s="112">
        <v>29</v>
      </c>
      <c r="AW37" s="733"/>
      <c r="AX37" s="734"/>
      <c r="AY37" s="734"/>
      <c r="AZ37" s="734"/>
      <c r="BA37" s="734"/>
      <c r="BB37" s="735"/>
      <c r="BC37" s="736"/>
      <c r="BD37" s="736"/>
      <c r="BE37" s="736"/>
      <c r="BF37" s="736"/>
      <c r="BG37" s="736"/>
      <c r="BH37" s="736"/>
      <c r="BI37" s="736"/>
      <c r="BJ37" s="736"/>
      <c r="BK37" s="736"/>
      <c r="BL37" s="736"/>
      <c r="BM37" s="736"/>
      <c r="BN37" s="736"/>
      <c r="BO37" s="736"/>
      <c r="BP37" s="737"/>
      <c r="BQ37" s="737"/>
    </row>
    <row r="38" spans="2:69" ht="17.100000000000001" customHeight="1" x14ac:dyDescent="0.25">
      <c r="B38" s="113">
        <v>30</v>
      </c>
      <c r="C38" s="738"/>
      <c r="D38" s="739"/>
      <c r="E38" s="739"/>
      <c r="F38" s="739"/>
      <c r="G38" s="739"/>
      <c r="H38" s="740"/>
      <c r="I38" s="741"/>
      <c r="J38" s="741"/>
      <c r="K38" s="741"/>
      <c r="L38" s="741"/>
      <c r="M38" s="741"/>
      <c r="N38" s="741"/>
      <c r="O38" s="741"/>
      <c r="P38" s="741"/>
      <c r="Q38" s="741"/>
      <c r="R38" s="741"/>
      <c r="S38" s="741"/>
      <c r="T38" s="741"/>
      <c r="U38" s="741"/>
      <c r="V38" s="742"/>
      <c r="W38" s="742"/>
      <c r="AV38" s="113">
        <v>30</v>
      </c>
      <c r="AW38" s="738"/>
      <c r="AX38" s="739"/>
      <c r="AY38" s="739"/>
      <c r="AZ38" s="739"/>
      <c r="BA38" s="739"/>
      <c r="BB38" s="740"/>
      <c r="BC38" s="741"/>
      <c r="BD38" s="741"/>
      <c r="BE38" s="741"/>
      <c r="BF38" s="741"/>
      <c r="BG38" s="741"/>
      <c r="BH38" s="741"/>
      <c r="BI38" s="741"/>
      <c r="BJ38" s="741"/>
      <c r="BK38" s="741"/>
      <c r="BL38" s="741"/>
      <c r="BM38" s="741"/>
      <c r="BN38" s="741"/>
      <c r="BO38" s="741"/>
      <c r="BP38" s="742"/>
      <c r="BQ38" s="742"/>
    </row>
    <row r="39" spans="2:69" ht="17.100000000000001" customHeight="1" x14ac:dyDescent="0.25">
      <c r="B39" s="112">
        <v>31</v>
      </c>
      <c r="C39" s="733"/>
      <c r="D39" s="734"/>
      <c r="E39" s="734"/>
      <c r="F39" s="734"/>
      <c r="G39" s="734"/>
      <c r="H39" s="735"/>
      <c r="I39" s="736"/>
      <c r="J39" s="736"/>
      <c r="K39" s="736"/>
      <c r="L39" s="736"/>
      <c r="M39" s="736"/>
      <c r="N39" s="736"/>
      <c r="O39" s="736"/>
      <c r="P39" s="736"/>
      <c r="Q39" s="736"/>
      <c r="R39" s="736"/>
      <c r="S39" s="736"/>
      <c r="T39" s="736"/>
      <c r="U39" s="736"/>
      <c r="V39" s="737"/>
      <c r="W39" s="737"/>
      <c r="AV39" s="112">
        <v>31</v>
      </c>
      <c r="AW39" s="733"/>
      <c r="AX39" s="734"/>
      <c r="AY39" s="734"/>
      <c r="AZ39" s="734"/>
      <c r="BA39" s="734"/>
      <c r="BB39" s="735"/>
      <c r="BC39" s="736"/>
      <c r="BD39" s="736"/>
      <c r="BE39" s="736"/>
      <c r="BF39" s="736"/>
      <c r="BG39" s="736"/>
      <c r="BH39" s="736"/>
      <c r="BI39" s="736"/>
      <c r="BJ39" s="736"/>
      <c r="BK39" s="736"/>
      <c r="BL39" s="736"/>
      <c r="BM39" s="736"/>
      <c r="BN39" s="736"/>
      <c r="BO39" s="736"/>
      <c r="BP39" s="737"/>
      <c r="BQ39" s="737"/>
    </row>
    <row r="40" spans="2:69" ht="17.100000000000001" customHeight="1" x14ac:dyDescent="0.25">
      <c r="B40" s="113">
        <v>32</v>
      </c>
      <c r="C40" s="738"/>
      <c r="D40" s="739"/>
      <c r="E40" s="739"/>
      <c r="F40" s="739"/>
      <c r="G40" s="739"/>
      <c r="H40" s="740"/>
      <c r="I40" s="741"/>
      <c r="J40" s="741"/>
      <c r="K40" s="741"/>
      <c r="L40" s="741"/>
      <c r="M40" s="741"/>
      <c r="N40" s="741"/>
      <c r="O40" s="741"/>
      <c r="P40" s="741"/>
      <c r="Q40" s="741"/>
      <c r="R40" s="741"/>
      <c r="S40" s="741"/>
      <c r="T40" s="741"/>
      <c r="U40" s="741"/>
      <c r="V40" s="742"/>
      <c r="W40" s="742"/>
      <c r="AV40" s="113">
        <v>32</v>
      </c>
      <c r="AW40" s="738"/>
      <c r="AX40" s="739"/>
      <c r="AY40" s="739"/>
      <c r="AZ40" s="739"/>
      <c r="BA40" s="739"/>
      <c r="BB40" s="740"/>
      <c r="BC40" s="741"/>
      <c r="BD40" s="741"/>
      <c r="BE40" s="741"/>
      <c r="BF40" s="741"/>
      <c r="BG40" s="741"/>
      <c r="BH40" s="741"/>
      <c r="BI40" s="741"/>
      <c r="BJ40" s="741"/>
      <c r="BK40" s="741"/>
      <c r="BL40" s="741"/>
      <c r="BM40" s="741"/>
      <c r="BN40" s="741"/>
      <c r="BO40" s="741"/>
      <c r="BP40" s="742"/>
      <c r="BQ40" s="742"/>
    </row>
    <row r="41" spans="2:69" ht="17.100000000000001" customHeight="1" x14ac:dyDescent="0.25">
      <c r="B41" s="112">
        <v>33</v>
      </c>
      <c r="C41" s="733"/>
      <c r="D41" s="734"/>
      <c r="E41" s="734"/>
      <c r="F41" s="734"/>
      <c r="G41" s="734"/>
      <c r="H41" s="735"/>
      <c r="I41" s="736"/>
      <c r="J41" s="736"/>
      <c r="K41" s="736"/>
      <c r="L41" s="736"/>
      <c r="M41" s="736"/>
      <c r="N41" s="736"/>
      <c r="O41" s="736"/>
      <c r="P41" s="736"/>
      <c r="Q41" s="736"/>
      <c r="R41" s="736"/>
      <c r="S41" s="736"/>
      <c r="T41" s="736"/>
      <c r="U41" s="736"/>
      <c r="V41" s="737"/>
      <c r="W41" s="737"/>
      <c r="AV41" s="112">
        <v>33</v>
      </c>
      <c r="AW41" s="733"/>
      <c r="AX41" s="734"/>
      <c r="AY41" s="734"/>
      <c r="AZ41" s="734"/>
      <c r="BA41" s="734"/>
      <c r="BB41" s="735"/>
      <c r="BC41" s="736"/>
      <c r="BD41" s="736"/>
      <c r="BE41" s="736"/>
      <c r="BF41" s="736"/>
      <c r="BG41" s="736"/>
      <c r="BH41" s="736"/>
      <c r="BI41" s="736"/>
      <c r="BJ41" s="736"/>
      <c r="BK41" s="736"/>
      <c r="BL41" s="736"/>
      <c r="BM41" s="736"/>
      <c r="BN41" s="736"/>
      <c r="BO41" s="736"/>
      <c r="BP41" s="737"/>
      <c r="BQ41" s="737"/>
    </row>
    <row r="42" spans="2:69" ht="17.100000000000001" customHeight="1" x14ac:dyDescent="0.25">
      <c r="B42" s="113">
        <v>34</v>
      </c>
      <c r="C42" s="738"/>
      <c r="D42" s="739"/>
      <c r="E42" s="739"/>
      <c r="F42" s="739"/>
      <c r="G42" s="739"/>
      <c r="H42" s="740"/>
      <c r="I42" s="741"/>
      <c r="J42" s="741"/>
      <c r="K42" s="741"/>
      <c r="L42" s="741"/>
      <c r="M42" s="741"/>
      <c r="N42" s="741"/>
      <c r="O42" s="741"/>
      <c r="P42" s="741"/>
      <c r="Q42" s="741"/>
      <c r="R42" s="741"/>
      <c r="S42" s="741"/>
      <c r="T42" s="741"/>
      <c r="U42" s="741"/>
      <c r="V42" s="742"/>
      <c r="W42" s="742"/>
      <c r="AV42" s="113">
        <v>34</v>
      </c>
      <c r="AW42" s="738"/>
      <c r="AX42" s="739"/>
      <c r="AY42" s="739"/>
      <c r="AZ42" s="739"/>
      <c r="BA42" s="739"/>
      <c r="BB42" s="740"/>
      <c r="BC42" s="741"/>
      <c r="BD42" s="741"/>
      <c r="BE42" s="741"/>
      <c r="BF42" s="741"/>
      <c r="BG42" s="741"/>
      <c r="BH42" s="741"/>
      <c r="BI42" s="741"/>
      <c r="BJ42" s="741"/>
      <c r="BK42" s="741"/>
      <c r="BL42" s="741"/>
      <c r="BM42" s="741"/>
      <c r="BN42" s="741"/>
      <c r="BO42" s="741"/>
      <c r="BP42" s="742"/>
      <c r="BQ42" s="742"/>
    </row>
    <row r="43" spans="2:69" ht="17.100000000000001" customHeight="1" x14ac:dyDescent="0.25">
      <c r="B43" s="112">
        <v>35</v>
      </c>
      <c r="C43" s="733"/>
      <c r="D43" s="734"/>
      <c r="E43" s="734"/>
      <c r="F43" s="734"/>
      <c r="G43" s="734"/>
      <c r="H43" s="735"/>
      <c r="I43" s="736"/>
      <c r="J43" s="736"/>
      <c r="K43" s="736"/>
      <c r="L43" s="736"/>
      <c r="M43" s="736"/>
      <c r="N43" s="736"/>
      <c r="O43" s="736"/>
      <c r="P43" s="736"/>
      <c r="Q43" s="736"/>
      <c r="R43" s="736"/>
      <c r="S43" s="736"/>
      <c r="T43" s="736"/>
      <c r="U43" s="736"/>
      <c r="V43" s="737"/>
      <c r="W43" s="737"/>
      <c r="AV43" s="112">
        <v>35</v>
      </c>
      <c r="AW43" s="733"/>
      <c r="AX43" s="734"/>
      <c r="AY43" s="734"/>
      <c r="AZ43" s="734"/>
      <c r="BA43" s="734"/>
      <c r="BB43" s="735"/>
      <c r="BC43" s="736"/>
      <c r="BD43" s="736"/>
      <c r="BE43" s="736"/>
      <c r="BF43" s="736"/>
      <c r="BG43" s="736"/>
      <c r="BH43" s="736"/>
      <c r="BI43" s="736"/>
      <c r="BJ43" s="736"/>
      <c r="BK43" s="736"/>
      <c r="BL43" s="736"/>
      <c r="BM43" s="736"/>
      <c r="BN43" s="736"/>
      <c r="BO43" s="736"/>
      <c r="BP43" s="737"/>
      <c r="BQ43" s="737"/>
    </row>
    <row r="44" spans="2:69" ht="17.100000000000001" customHeight="1" x14ac:dyDescent="0.25">
      <c r="B44" s="113">
        <v>36</v>
      </c>
      <c r="C44" s="738"/>
      <c r="D44" s="739"/>
      <c r="E44" s="739"/>
      <c r="F44" s="739"/>
      <c r="G44" s="739"/>
      <c r="H44" s="740"/>
      <c r="I44" s="741"/>
      <c r="J44" s="741"/>
      <c r="K44" s="741"/>
      <c r="L44" s="741"/>
      <c r="M44" s="741"/>
      <c r="N44" s="741"/>
      <c r="O44" s="741"/>
      <c r="P44" s="741"/>
      <c r="Q44" s="741"/>
      <c r="R44" s="741"/>
      <c r="S44" s="741"/>
      <c r="T44" s="741"/>
      <c r="U44" s="741"/>
      <c r="V44" s="742"/>
      <c r="W44" s="742"/>
      <c r="AV44" s="113">
        <v>36</v>
      </c>
      <c r="AW44" s="738"/>
      <c r="AX44" s="739"/>
      <c r="AY44" s="739"/>
      <c r="AZ44" s="739"/>
      <c r="BA44" s="739"/>
      <c r="BB44" s="740"/>
      <c r="BC44" s="741"/>
      <c r="BD44" s="741"/>
      <c r="BE44" s="741"/>
      <c r="BF44" s="741"/>
      <c r="BG44" s="741"/>
      <c r="BH44" s="741"/>
      <c r="BI44" s="741"/>
      <c r="BJ44" s="741"/>
      <c r="BK44" s="741"/>
      <c r="BL44" s="741"/>
      <c r="BM44" s="741"/>
      <c r="BN44" s="741"/>
      <c r="BO44" s="741"/>
      <c r="BP44" s="742"/>
      <c r="BQ44" s="742"/>
    </row>
    <row r="45" spans="2:69" ht="17.100000000000001" customHeight="1" x14ac:dyDescent="0.25">
      <c r="B45" s="112">
        <v>37</v>
      </c>
      <c r="C45" s="733"/>
      <c r="D45" s="734"/>
      <c r="E45" s="734"/>
      <c r="F45" s="734"/>
      <c r="G45" s="734"/>
      <c r="H45" s="735"/>
      <c r="I45" s="736"/>
      <c r="J45" s="736"/>
      <c r="K45" s="736"/>
      <c r="L45" s="736"/>
      <c r="M45" s="736"/>
      <c r="N45" s="736"/>
      <c r="O45" s="736"/>
      <c r="P45" s="736"/>
      <c r="Q45" s="736"/>
      <c r="R45" s="736"/>
      <c r="S45" s="736"/>
      <c r="T45" s="736"/>
      <c r="U45" s="736"/>
      <c r="V45" s="737"/>
      <c r="W45" s="737"/>
      <c r="AV45" s="112">
        <v>37</v>
      </c>
      <c r="AW45" s="733"/>
      <c r="AX45" s="734"/>
      <c r="AY45" s="734"/>
      <c r="AZ45" s="734"/>
      <c r="BA45" s="734"/>
      <c r="BB45" s="735"/>
      <c r="BC45" s="736"/>
      <c r="BD45" s="736"/>
      <c r="BE45" s="736"/>
      <c r="BF45" s="736"/>
      <c r="BG45" s="736"/>
      <c r="BH45" s="736"/>
      <c r="BI45" s="736"/>
      <c r="BJ45" s="736"/>
      <c r="BK45" s="736"/>
      <c r="BL45" s="736"/>
      <c r="BM45" s="736"/>
      <c r="BN45" s="736"/>
      <c r="BO45" s="736"/>
      <c r="BP45" s="737"/>
      <c r="BQ45" s="737"/>
    </row>
    <row r="46" spans="2:69" ht="17.100000000000001" customHeight="1" x14ac:dyDescent="0.25">
      <c r="B46" s="113">
        <v>38</v>
      </c>
      <c r="C46" s="738"/>
      <c r="D46" s="739"/>
      <c r="E46" s="739"/>
      <c r="F46" s="739"/>
      <c r="G46" s="739"/>
      <c r="H46" s="740"/>
      <c r="I46" s="741"/>
      <c r="J46" s="741"/>
      <c r="K46" s="741"/>
      <c r="L46" s="741"/>
      <c r="M46" s="741"/>
      <c r="N46" s="741"/>
      <c r="O46" s="741"/>
      <c r="P46" s="741"/>
      <c r="Q46" s="741"/>
      <c r="R46" s="741"/>
      <c r="S46" s="741"/>
      <c r="T46" s="741"/>
      <c r="U46" s="741"/>
      <c r="V46" s="742"/>
      <c r="W46" s="742"/>
      <c r="AV46" s="113">
        <v>38</v>
      </c>
      <c r="AW46" s="738"/>
      <c r="AX46" s="739"/>
      <c r="AY46" s="739"/>
      <c r="AZ46" s="739"/>
      <c r="BA46" s="739"/>
      <c r="BB46" s="740"/>
      <c r="BC46" s="741"/>
      <c r="BD46" s="741"/>
      <c r="BE46" s="741"/>
      <c r="BF46" s="741"/>
      <c r="BG46" s="741"/>
      <c r="BH46" s="741"/>
      <c r="BI46" s="741"/>
      <c r="BJ46" s="741"/>
      <c r="BK46" s="741"/>
      <c r="BL46" s="741"/>
      <c r="BM46" s="741"/>
      <c r="BN46" s="741"/>
      <c r="BO46" s="741"/>
      <c r="BP46" s="742"/>
      <c r="BQ46" s="742"/>
    </row>
    <row r="47" spans="2:69" ht="17.100000000000001" customHeight="1" x14ac:dyDescent="0.25">
      <c r="B47" s="112">
        <v>39</v>
      </c>
      <c r="C47" s="733"/>
      <c r="D47" s="734"/>
      <c r="E47" s="734"/>
      <c r="F47" s="734"/>
      <c r="G47" s="734"/>
      <c r="H47" s="735"/>
      <c r="I47" s="736"/>
      <c r="J47" s="736"/>
      <c r="K47" s="736"/>
      <c r="L47" s="736"/>
      <c r="M47" s="736"/>
      <c r="N47" s="736"/>
      <c r="O47" s="736"/>
      <c r="P47" s="736"/>
      <c r="Q47" s="736"/>
      <c r="R47" s="736"/>
      <c r="S47" s="736"/>
      <c r="T47" s="736"/>
      <c r="U47" s="736"/>
      <c r="V47" s="737"/>
      <c r="W47" s="737"/>
      <c r="AV47" s="112">
        <v>39</v>
      </c>
      <c r="AW47" s="733"/>
      <c r="AX47" s="734"/>
      <c r="AY47" s="734"/>
      <c r="AZ47" s="734"/>
      <c r="BA47" s="734"/>
      <c r="BB47" s="735"/>
      <c r="BC47" s="736"/>
      <c r="BD47" s="736"/>
      <c r="BE47" s="736"/>
      <c r="BF47" s="736"/>
      <c r="BG47" s="736"/>
      <c r="BH47" s="736"/>
      <c r="BI47" s="736"/>
      <c r="BJ47" s="736"/>
      <c r="BK47" s="736"/>
      <c r="BL47" s="736"/>
      <c r="BM47" s="736"/>
      <c r="BN47" s="736"/>
      <c r="BO47" s="736"/>
      <c r="BP47" s="737"/>
      <c r="BQ47" s="737"/>
    </row>
    <row r="48" spans="2:69" ht="17.100000000000001" customHeight="1" x14ac:dyDescent="0.25">
      <c r="B48" s="113">
        <v>40</v>
      </c>
      <c r="C48" s="738"/>
      <c r="D48" s="739"/>
      <c r="E48" s="739"/>
      <c r="F48" s="739"/>
      <c r="G48" s="739"/>
      <c r="H48" s="740"/>
      <c r="I48" s="741"/>
      <c r="J48" s="741"/>
      <c r="K48" s="741"/>
      <c r="L48" s="741"/>
      <c r="M48" s="741"/>
      <c r="N48" s="741"/>
      <c r="O48" s="741"/>
      <c r="P48" s="741"/>
      <c r="Q48" s="741"/>
      <c r="R48" s="741"/>
      <c r="S48" s="741"/>
      <c r="T48" s="741"/>
      <c r="U48" s="741"/>
      <c r="V48" s="742"/>
      <c r="W48" s="742"/>
      <c r="AV48" s="113">
        <v>40</v>
      </c>
      <c r="AW48" s="738"/>
      <c r="AX48" s="739"/>
      <c r="AY48" s="739"/>
      <c r="AZ48" s="739"/>
      <c r="BA48" s="739"/>
      <c r="BB48" s="740"/>
      <c r="BC48" s="741"/>
      <c r="BD48" s="741"/>
      <c r="BE48" s="741"/>
      <c r="BF48" s="741"/>
      <c r="BG48" s="741"/>
      <c r="BH48" s="741"/>
      <c r="BI48" s="741"/>
      <c r="BJ48" s="741"/>
      <c r="BK48" s="741"/>
      <c r="BL48" s="741"/>
      <c r="BM48" s="741"/>
      <c r="BN48" s="741"/>
      <c r="BO48" s="741"/>
      <c r="BP48" s="742"/>
      <c r="BQ48" s="742"/>
    </row>
    <row r="49" spans="2:69" ht="17.100000000000001" customHeight="1" x14ac:dyDescent="0.25">
      <c r="B49" s="112">
        <v>41</v>
      </c>
      <c r="C49" s="733"/>
      <c r="D49" s="734"/>
      <c r="E49" s="734"/>
      <c r="F49" s="734"/>
      <c r="G49" s="734"/>
      <c r="H49" s="735"/>
      <c r="I49" s="736"/>
      <c r="J49" s="736"/>
      <c r="K49" s="736"/>
      <c r="L49" s="736"/>
      <c r="M49" s="736"/>
      <c r="N49" s="736"/>
      <c r="O49" s="736"/>
      <c r="P49" s="736"/>
      <c r="Q49" s="736"/>
      <c r="R49" s="736"/>
      <c r="S49" s="736"/>
      <c r="T49" s="736"/>
      <c r="U49" s="736"/>
      <c r="V49" s="737"/>
      <c r="W49" s="737"/>
      <c r="AV49" s="112">
        <v>41</v>
      </c>
      <c r="AW49" s="733"/>
      <c r="AX49" s="734"/>
      <c r="AY49" s="734"/>
      <c r="AZ49" s="734"/>
      <c r="BA49" s="734"/>
      <c r="BB49" s="735"/>
      <c r="BC49" s="736"/>
      <c r="BD49" s="736"/>
      <c r="BE49" s="736"/>
      <c r="BF49" s="736"/>
      <c r="BG49" s="736"/>
      <c r="BH49" s="736"/>
      <c r="BI49" s="736"/>
      <c r="BJ49" s="736"/>
      <c r="BK49" s="736"/>
      <c r="BL49" s="736"/>
      <c r="BM49" s="736"/>
      <c r="BN49" s="736"/>
      <c r="BO49" s="736"/>
      <c r="BP49" s="737"/>
      <c r="BQ49" s="737"/>
    </row>
    <row r="50" spans="2:69" ht="17.100000000000001" customHeight="1" x14ac:dyDescent="0.25">
      <c r="B50" s="113">
        <v>42</v>
      </c>
      <c r="C50" s="738"/>
      <c r="D50" s="739"/>
      <c r="E50" s="739"/>
      <c r="F50" s="739"/>
      <c r="G50" s="739"/>
      <c r="H50" s="740"/>
      <c r="I50" s="741"/>
      <c r="J50" s="741"/>
      <c r="K50" s="741"/>
      <c r="L50" s="741"/>
      <c r="M50" s="741"/>
      <c r="N50" s="741"/>
      <c r="O50" s="741"/>
      <c r="P50" s="741"/>
      <c r="Q50" s="741"/>
      <c r="R50" s="741"/>
      <c r="S50" s="741"/>
      <c r="T50" s="741"/>
      <c r="U50" s="741"/>
      <c r="V50" s="742"/>
      <c r="W50" s="742"/>
      <c r="AV50" s="113">
        <v>42</v>
      </c>
      <c r="AW50" s="738"/>
      <c r="AX50" s="739"/>
      <c r="AY50" s="739"/>
      <c r="AZ50" s="739"/>
      <c r="BA50" s="739"/>
      <c r="BB50" s="740"/>
      <c r="BC50" s="741"/>
      <c r="BD50" s="741"/>
      <c r="BE50" s="741"/>
      <c r="BF50" s="741"/>
      <c r="BG50" s="741"/>
      <c r="BH50" s="741"/>
      <c r="BI50" s="741"/>
      <c r="BJ50" s="741"/>
      <c r="BK50" s="741"/>
      <c r="BL50" s="741"/>
      <c r="BM50" s="741"/>
      <c r="BN50" s="741"/>
      <c r="BO50" s="741"/>
      <c r="BP50" s="742"/>
      <c r="BQ50" s="742"/>
    </row>
    <row r="51" spans="2:69" ht="17.100000000000001" customHeight="1" x14ac:dyDescent="0.25">
      <c r="B51" s="112">
        <v>43</v>
      </c>
      <c r="C51" s="733"/>
      <c r="D51" s="734"/>
      <c r="E51" s="734"/>
      <c r="F51" s="734"/>
      <c r="G51" s="734"/>
      <c r="H51" s="735"/>
      <c r="I51" s="736"/>
      <c r="J51" s="736"/>
      <c r="K51" s="736"/>
      <c r="L51" s="736"/>
      <c r="M51" s="736"/>
      <c r="N51" s="736"/>
      <c r="O51" s="736"/>
      <c r="P51" s="736"/>
      <c r="Q51" s="736"/>
      <c r="R51" s="736"/>
      <c r="S51" s="736"/>
      <c r="T51" s="736"/>
      <c r="U51" s="736"/>
      <c r="V51" s="737"/>
      <c r="W51" s="737"/>
      <c r="AV51" s="112">
        <v>43</v>
      </c>
      <c r="AW51" s="733"/>
      <c r="AX51" s="734"/>
      <c r="AY51" s="734"/>
      <c r="AZ51" s="734"/>
      <c r="BA51" s="734"/>
      <c r="BB51" s="735"/>
      <c r="BC51" s="736"/>
      <c r="BD51" s="736"/>
      <c r="BE51" s="736"/>
      <c r="BF51" s="736"/>
      <c r="BG51" s="736"/>
      <c r="BH51" s="736"/>
      <c r="BI51" s="736"/>
      <c r="BJ51" s="736"/>
      <c r="BK51" s="736"/>
      <c r="BL51" s="736"/>
      <c r="BM51" s="736"/>
      <c r="BN51" s="736"/>
      <c r="BO51" s="736"/>
      <c r="BP51" s="737"/>
      <c r="BQ51" s="737"/>
    </row>
    <row r="52" spans="2:69" ht="17.100000000000001" customHeight="1" x14ac:dyDescent="0.25">
      <c r="B52" s="113">
        <v>44</v>
      </c>
      <c r="C52" s="738"/>
      <c r="D52" s="739"/>
      <c r="E52" s="739"/>
      <c r="F52" s="739"/>
      <c r="G52" s="739"/>
      <c r="H52" s="740"/>
      <c r="I52" s="741"/>
      <c r="J52" s="741"/>
      <c r="K52" s="741"/>
      <c r="L52" s="741"/>
      <c r="M52" s="741"/>
      <c r="N52" s="741"/>
      <c r="O52" s="741"/>
      <c r="P52" s="741"/>
      <c r="Q52" s="741"/>
      <c r="R52" s="741"/>
      <c r="S52" s="741"/>
      <c r="T52" s="741"/>
      <c r="U52" s="741"/>
      <c r="V52" s="742"/>
      <c r="W52" s="742"/>
      <c r="AV52" s="113">
        <v>44</v>
      </c>
      <c r="AW52" s="738"/>
      <c r="AX52" s="739"/>
      <c r="AY52" s="739"/>
      <c r="AZ52" s="739"/>
      <c r="BA52" s="739"/>
      <c r="BB52" s="740"/>
      <c r="BC52" s="741"/>
      <c r="BD52" s="741"/>
      <c r="BE52" s="741"/>
      <c r="BF52" s="741"/>
      <c r="BG52" s="741"/>
      <c r="BH52" s="741"/>
      <c r="BI52" s="741"/>
      <c r="BJ52" s="741"/>
      <c r="BK52" s="741"/>
      <c r="BL52" s="741"/>
      <c r="BM52" s="741"/>
      <c r="BN52" s="741"/>
      <c r="BO52" s="741"/>
      <c r="BP52" s="742"/>
      <c r="BQ52" s="742"/>
    </row>
    <row r="53" spans="2:69" ht="17.100000000000001" customHeight="1" x14ac:dyDescent="0.25">
      <c r="B53" s="112">
        <v>45</v>
      </c>
      <c r="C53" s="733"/>
      <c r="D53" s="734"/>
      <c r="E53" s="734"/>
      <c r="F53" s="734"/>
      <c r="G53" s="734"/>
      <c r="H53" s="735"/>
      <c r="I53" s="736"/>
      <c r="J53" s="736"/>
      <c r="K53" s="736"/>
      <c r="L53" s="736"/>
      <c r="M53" s="736"/>
      <c r="N53" s="736"/>
      <c r="O53" s="736"/>
      <c r="P53" s="736"/>
      <c r="Q53" s="736"/>
      <c r="R53" s="736"/>
      <c r="S53" s="736"/>
      <c r="T53" s="736"/>
      <c r="U53" s="736"/>
      <c r="V53" s="737"/>
      <c r="W53" s="737"/>
      <c r="AV53" s="112">
        <v>45</v>
      </c>
      <c r="AW53" s="733"/>
      <c r="AX53" s="734"/>
      <c r="AY53" s="734"/>
      <c r="AZ53" s="734"/>
      <c r="BA53" s="734"/>
      <c r="BB53" s="735"/>
      <c r="BC53" s="736"/>
      <c r="BD53" s="736"/>
      <c r="BE53" s="736"/>
      <c r="BF53" s="736"/>
      <c r="BG53" s="736"/>
      <c r="BH53" s="736"/>
      <c r="BI53" s="736"/>
      <c r="BJ53" s="736"/>
      <c r="BK53" s="736"/>
      <c r="BL53" s="736"/>
      <c r="BM53" s="736"/>
      <c r="BN53" s="736"/>
      <c r="BO53" s="736"/>
      <c r="BP53" s="737"/>
      <c r="BQ53" s="737"/>
    </row>
    <row r="54" spans="2:69" ht="17.100000000000001" customHeight="1" x14ac:dyDescent="0.25">
      <c r="B54" s="113">
        <v>46</v>
      </c>
      <c r="C54" s="738"/>
      <c r="D54" s="739"/>
      <c r="E54" s="739"/>
      <c r="F54" s="739"/>
      <c r="G54" s="739"/>
      <c r="H54" s="740"/>
      <c r="I54" s="741"/>
      <c r="J54" s="741"/>
      <c r="K54" s="741"/>
      <c r="L54" s="741"/>
      <c r="M54" s="741"/>
      <c r="N54" s="741"/>
      <c r="O54" s="741"/>
      <c r="P54" s="741"/>
      <c r="Q54" s="741"/>
      <c r="R54" s="741"/>
      <c r="S54" s="741"/>
      <c r="T54" s="741"/>
      <c r="U54" s="741"/>
      <c r="V54" s="742"/>
      <c r="W54" s="742"/>
      <c r="AV54" s="113">
        <v>46</v>
      </c>
      <c r="AW54" s="738"/>
      <c r="AX54" s="739"/>
      <c r="AY54" s="739"/>
      <c r="AZ54" s="739"/>
      <c r="BA54" s="739"/>
      <c r="BB54" s="740"/>
      <c r="BC54" s="741"/>
      <c r="BD54" s="741"/>
      <c r="BE54" s="741"/>
      <c r="BF54" s="741"/>
      <c r="BG54" s="741"/>
      <c r="BH54" s="741"/>
      <c r="BI54" s="741"/>
      <c r="BJ54" s="741"/>
      <c r="BK54" s="741"/>
      <c r="BL54" s="741"/>
      <c r="BM54" s="741"/>
      <c r="BN54" s="741"/>
      <c r="BO54" s="741"/>
      <c r="BP54" s="742"/>
      <c r="BQ54" s="742"/>
    </row>
    <row r="55" spans="2:69" ht="17.100000000000001" customHeight="1" x14ac:dyDescent="0.25">
      <c r="B55" s="112">
        <v>47</v>
      </c>
      <c r="C55" s="733"/>
      <c r="D55" s="734"/>
      <c r="E55" s="734"/>
      <c r="F55" s="734"/>
      <c r="G55" s="734"/>
      <c r="H55" s="735"/>
      <c r="I55" s="736"/>
      <c r="J55" s="736"/>
      <c r="K55" s="736"/>
      <c r="L55" s="736"/>
      <c r="M55" s="736"/>
      <c r="N55" s="736"/>
      <c r="O55" s="736"/>
      <c r="P55" s="736"/>
      <c r="Q55" s="736"/>
      <c r="R55" s="736"/>
      <c r="S55" s="736"/>
      <c r="T55" s="736"/>
      <c r="U55" s="736"/>
      <c r="V55" s="737"/>
      <c r="W55" s="737"/>
      <c r="AV55" s="112">
        <v>47</v>
      </c>
      <c r="AW55" s="733"/>
      <c r="AX55" s="734"/>
      <c r="AY55" s="734"/>
      <c r="AZ55" s="734"/>
      <c r="BA55" s="734"/>
      <c r="BB55" s="735"/>
      <c r="BC55" s="736"/>
      <c r="BD55" s="736"/>
      <c r="BE55" s="736"/>
      <c r="BF55" s="736"/>
      <c r="BG55" s="736"/>
      <c r="BH55" s="736"/>
      <c r="BI55" s="736"/>
      <c r="BJ55" s="736"/>
      <c r="BK55" s="736"/>
      <c r="BL55" s="736"/>
      <c r="BM55" s="736"/>
      <c r="BN55" s="736"/>
      <c r="BO55" s="736"/>
      <c r="BP55" s="737"/>
      <c r="BQ55" s="737"/>
    </row>
    <row r="56" spans="2:69" ht="17.100000000000001" customHeight="1" x14ac:dyDescent="0.25">
      <c r="B56" s="113">
        <v>48</v>
      </c>
      <c r="C56" s="738"/>
      <c r="D56" s="739"/>
      <c r="E56" s="739"/>
      <c r="F56" s="739"/>
      <c r="G56" s="739"/>
      <c r="H56" s="740"/>
      <c r="I56" s="741"/>
      <c r="J56" s="741"/>
      <c r="K56" s="741"/>
      <c r="L56" s="741"/>
      <c r="M56" s="741"/>
      <c r="N56" s="741"/>
      <c r="O56" s="741"/>
      <c r="P56" s="741"/>
      <c r="Q56" s="741"/>
      <c r="R56" s="741"/>
      <c r="S56" s="741"/>
      <c r="T56" s="741"/>
      <c r="U56" s="741"/>
      <c r="V56" s="742"/>
      <c r="W56" s="742"/>
      <c r="AV56" s="113">
        <v>48</v>
      </c>
      <c r="AW56" s="738"/>
      <c r="AX56" s="739"/>
      <c r="AY56" s="739"/>
      <c r="AZ56" s="739"/>
      <c r="BA56" s="739"/>
      <c r="BB56" s="740"/>
      <c r="BC56" s="741"/>
      <c r="BD56" s="741"/>
      <c r="BE56" s="741"/>
      <c r="BF56" s="741"/>
      <c r="BG56" s="741"/>
      <c r="BH56" s="741"/>
      <c r="BI56" s="741"/>
      <c r="BJ56" s="741"/>
      <c r="BK56" s="741"/>
      <c r="BL56" s="741"/>
      <c r="BM56" s="741"/>
      <c r="BN56" s="741"/>
      <c r="BO56" s="741"/>
      <c r="BP56" s="742"/>
      <c r="BQ56" s="742"/>
    </row>
    <row r="57" spans="2:69" ht="17.100000000000001" customHeight="1" x14ac:dyDescent="0.25">
      <c r="B57" s="112">
        <v>49</v>
      </c>
      <c r="C57" s="733"/>
      <c r="D57" s="734"/>
      <c r="E57" s="734"/>
      <c r="F57" s="734"/>
      <c r="G57" s="734"/>
      <c r="H57" s="735"/>
      <c r="I57" s="736"/>
      <c r="J57" s="736"/>
      <c r="K57" s="736"/>
      <c r="L57" s="736"/>
      <c r="M57" s="736"/>
      <c r="N57" s="736"/>
      <c r="O57" s="736"/>
      <c r="P57" s="736"/>
      <c r="Q57" s="736"/>
      <c r="R57" s="736"/>
      <c r="S57" s="736"/>
      <c r="T57" s="736"/>
      <c r="U57" s="736"/>
      <c r="V57" s="737"/>
      <c r="W57" s="737"/>
      <c r="AV57" s="112">
        <v>49</v>
      </c>
      <c r="AW57" s="733"/>
      <c r="AX57" s="734"/>
      <c r="AY57" s="734"/>
      <c r="AZ57" s="734"/>
      <c r="BA57" s="734"/>
      <c r="BB57" s="735"/>
      <c r="BC57" s="736"/>
      <c r="BD57" s="736"/>
      <c r="BE57" s="736"/>
      <c r="BF57" s="736"/>
      <c r="BG57" s="736"/>
      <c r="BH57" s="736"/>
      <c r="BI57" s="736"/>
      <c r="BJ57" s="736"/>
      <c r="BK57" s="736"/>
      <c r="BL57" s="736"/>
      <c r="BM57" s="736"/>
      <c r="BN57" s="736"/>
      <c r="BO57" s="736"/>
      <c r="BP57" s="737"/>
      <c r="BQ57" s="737"/>
    </row>
    <row r="58" spans="2:69" ht="17.100000000000001" customHeight="1" x14ac:dyDescent="0.25">
      <c r="B58" s="113">
        <v>50</v>
      </c>
      <c r="C58" s="738"/>
      <c r="D58" s="739"/>
      <c r="E58" s="739"/>
      <c r="F58" s="739"/>
      <c r="G58" s="739"/>
      <c r="H58" s="740"/>
      <c r="I58" s="741"/>
      <c r="J58" s="741"/>
      <c r="K58" s="741"/>
      <c r="L58" s="741"/>
      <c r="M58" s="741"/>
      <c r="N58" s="741"/>
      <c r="O58" s="741"/>
      <c r="P58" s="741"/>
      <c r="Q58" s="741"/>
      <c r="R58" s="741"/>
      <c r="S58" s="741"/>
      <c r="T58" s="741"/>
      <c r="U58" s="741"/>
      <c r="V58" s="742"/>
      <c r="W58" s="742"/>
      <c r="AV58" s="113">
        <v>50</v>
      </c>
      <c r="AW58" s="738"/>
      <c r="AX58" s="739"/>
      <c r="AY58" s="739"/>
      <c r="AZ58" s="739"/>
      <c r="BA58" s="739"/>
      <c r="BB58" s="740"/>
      <c r="BC58" s="741"/>
      <c r="BD58" s="741"/>
      <c r="BE58" s="741"/>
      <c r="BF58" s="741"/>
      <c r="BG58" s="741"/>
      <c r="BH58" s="741"/>
      <c r="BI58" s="741"/>
      <c r="BJ58" s="741"/>
      <c r="BK58" s="741"/>
      <c r="BL58" s="741"/>
      <c r="BM58" s="741"/>
      <c r="BN58" s="741"/>
      <c r="BO58" s="741"/>
      <c r="BP58" s="742"/>
      <c r="BQ58" s="742"/>
    </row>
  </sheetData>
  <sheetProtection sheet="1" selectLockedCells="1"/>
  <protectedRanges>
    <protectedRange sqref="CO11:CP66 Y39:Y132 BS15:BS31 AB39:AT132 E65:W114 E124:W217 AB142:AT235 E227:W320 AB245:AT338 E330:W423 AB348:AT441 AY15:BQ58 X383:X476 E15:W58 Y348:Y441 Y245:Y338 Y142:Y235 X74:X167 AU15:AU66 AB15:AT31 X177:X270 X280:X373 X15:X66 Y15:Y31 BR15:BR66 BV15:CN31" name="区域3"/>
    <protectedRange sqref="BW6:CB6 BY4:CD4 CF6:CP6 CH4:CP4 AU5:AW5" name="区域2"/>
    <protectedRange sqref="AV6:BS6 AW4:BU4" name="区域1"/>
    <protectedRange sqref="AW3:BB3 C3:H3" name="区域1_1"/>
  </protectedRanges>
  <mergeCells count="470">
    <mergeCell ref="BS8:BT8"/>
    <mergeCell ref="BU8:BZ8"/>
    <mergeCell ref="CB8:CC8"/>
    <mergeCell ref="A1:CO1"/>
    <mergeCell ref="C2:H2"/>
    <mergeCell ref="I2:N2"/>
    <mergeCell ref="O2:AT2"/>
    <mergeCell ref="B7:W7"/>
    <mergeCell ref="Y7:AF7"/>
    <mergeCell ref="AH7:AT7"/>
    <mergeCell ref="AV7:BQ7"/>
    <mergeCell ref="BS7:BZ7"/>
    <mergeCell ref="CB7:CN7"/>
    <mergeCell ref="B3:B5"/>
    <mergeCell ref="AV3:AV5"/>
    <mergeCell ref="BI3:CN5"/>
    <mergeCell ref="AW3:BB5"/>
    <mergeCell ref="BC3:BH5"/>
    <mergeCell ref="O3:AT5"/>
    <mergeCell ref="C3:H5"/>
    <mergeCell ref="I3:N5"/>
    <mergeCell ref="CD8:CN8"/>
    <mergeCell ref="BP9:BQ9"/>
    <mergeCell ref="BS9:BT9"/>
    <mergeCell ref="BU9:BZ9"/>
    <mergeCell ref="CB9:CC9"/>
    <mergeCell ref="CD9:CN9"/>
    <mergeCell ref="C8:H8"/>
    <mergeCell ref="I8:U8"/>
    <mergeCell ref="V8:W8"/>
    <mergeCell ref="Y8:Z8"/>
    <mergeCell ref="AA8:AF8"/>
    <mergeCell ref="AH8:AI8"/>
    <mergeCell ref="AJ8:AT8"/>
    <mergeCell ref="AW8:BB8"/>
    <mergeCell ref="BC8:BO8"/>
    <mergeCell ref="C9:H9"/>
    <mergeCell ref="I9:U9"/>
    <mergeCell ref="V9:W9"/>
    <mergeCell ref="Y9:Z9"/>
    <mergeCell ref="AA9:AF9"/>
    <mergeCell ref="AH9:AI9"/>
    <mergeCell ref="AJ9:AT9"/>
    <mergeCell ref="AW9:BB9"/>
    <mergeCell ref="BC9:BO9"/>
    <mergeCell ref="BP8:BQ8"/>
    <mergeCell ref="C10:H10"/>
    <mergeCell ref="I10:U10"/>
    <mergeCell ref="V10:W10"/>
    <mergeCell ref="Y10:Z10"/>
    <mergeCell ref="AA10:AF10"/>
    <mergeCell ref="AH10:AI10"/>
    <mergeCell ref="AJ10:AT10"/>
    <mergeCell ref="AW10:BB10"/>
    <mergeCell ref="BC10:BO10"/>
    <mergeCell ref="BS12:BT12"/>
    <mergeCell ref="BU12:BZ12"/>
    <mergeCell ref="CB12:CC12"/>
    <mergeCell ref="CD12:CN12"/>
    <mergeCell ref="C11:H11"/>
    <mergeCell ref="I11:U11"/>
    <mergeCell ref="V11:W11"/>
    <mergeCell ref="Y11:Z11"/>
    <mergeCell ref="AA11:AF11"/>
    <mergeCell ref="AH11:AI11"/>
    <mergeCell ref="AJ11:AT11"/>
    <mergeCell ref="AW11:BB11"/>
    <mergeCell ref="BC11:BO11"/>
    <mergeCell ref="BP10:BQ10"/>
    <mergeCell ref="BS10:BT10"/>
    <mergeCell ref="BU10:BZ10"/>
    <mergeCell ref="CB10:CC10"/>
    <mergeCell ref="CD10:CN10"/>
    <mergeCell ref="BP11:BQ11"/>
    <mergeCell ref="BS11:BT11"/>
    <mergeCell ref="BU11:BZ11"/>
    <mergeCell ref="CB11:CC11"/>
    <mergeCell ref="CD11:CN11"/>
    <mergeCell ref="BP13:BQ13"/>
    <mergeCell ref="BS13:BT13"/>
    <mergeCell ref="BU13:BZ13"/>
    <mergeCell ref="CB13:CC13"/>
    <mergeCell ref="CD13:CN13"/>
    <mergeCell ref="C12:H12"/>
    <mergeCell ref="I12:U12"/>
    <mergeCell ref="V12:W12"/>
    <mergeCell ref="Y12:Z12"/>
    <mergeCell ref="AA12:AF12"/>
    <mergeCell ref="C13:H13"/>
    <mergeCell ref="I13:U13"/>
    <mergeCell ref="V13:W13"/>
    <mergeCell ref="Y13:Z13"/>
    <mergeCell ref="AA13:AF13"/>
    <mergeCell ref="AH13:AI13"/>
    <mergeCell ref="AJ13:AT13"/>
    <mergeCell ref="AW13:BB13"/>
    <mergeCell ref="BC13:BO13"/>
    <mergeCell ref="AH12:AI12"/>
    <mergeCell ref="AJ12:AT12"/>
    <mergeCell ref="AW12:BB12"/>
    <mergeCell ref="BC12:BO12"/>
    <mergeCell ref="BP12:BQ12"/>
    <mergeCell ref="C14:H14"/>
    <mergeCell ref="I14:U14"/>
    <mergeCell ref="V14:W14"/>
    <mergeCell ref="AW14:BB14"/>
    <mergeCell ref="BC14:BO14"/>
    <mergeCell ref="BP14:BQ14"/>
    <mergeCell ref="C15:H15"/>
    <mergeCell ref="I15:U15"/>
    <mergeCell ref="V15:W15"/>
    <mergeCell ref="Y15:AT15"/>
    <mergeCell ref="AW15:BB15"/>
    <mergeCell ref="BC15:BO15"/>
    <mergeCell ref="BP15:BQ15"/>
    <mergeCell ref="BS15:CN15"/>
    <mergeCell ref="C16:H16"/>
    <mergeCell ref="I16:U16"/>
    <mergeCell ref="V16:W16"/>
    <mergeCell ref="Z16:AE16"/>
    <mergeCell ref="AF16:AR16"/>
    <mergeCell ref="AS16:AT16"/>
    <mergeCell ref="AW16:BB16"/>
    <mergeCell ref="BC16:BO16"/>
    <mergeCell ref="BP16:BQ16"/>
    <mergeCell ref="BT16:BY16"/>
    <mergeCell ref="BZ16:CL16"/>
    <mergeCell ref="CM16:CN16"/>
    <mergeCell ref="BT17:BY17"/>
    <mergeCell ref="BZ17:CL17"/>
    <mergeCell ref="CM17:CN17"/>
    <mergeCell ref="C18:H18"/>
    <mergeCell ref="I18:U18"/>
    <mergeCell ref="V18:W18"/>
    <mergeCell ref="Z18:AE18"/>
    <mergeCell ref="AF18:AR18"/>
    <mergeCell ref="AS18:AT18"/>
    <mergeCell ref="AW18:BB18"/>
    <mergeCell ref="BC18:BO18"/>
    <mergeCell ref="BP18:BQ18"/>
    <mergeCell ref="BT18:BY18"/>
    <mergeCell ref="BZ18:CL18"/>
    <mergeCell ref="CM18:CN18"/>
    <mergeCell ref="C17:H17"/>
    <mergeCell ref="I17:U17"/>
    <mergeCell ref="V17:W17"/>
    <mergeCell ref="Z17:AE17"/>
    <mergeCell ref="AF17:AR17"/>
    <mergeCell ref="AS17:AT17"/>
    <mergeCell ref="AW17:BB17"/>
    <mergeCell ref="BC17:BO17"/>
    <mergeCell ref="BP17:BQ17"/>
    <mergeCell ref="BT19:BY19"/>
    <mergeCell ref="BZ19:CL19"/>
    <mergeCell ref="CM19:CN19"/>
    <mergeCell ref="C20:H20"/>
    <mergeCell ref="I20:U20"/>
    <mergeCell ref="V20:W20"/>
    <mergeCell ref="Z20:AE20"/>
    <mergeCell ref="AF20:AR20"/>
    <mergeCell ref="AS20:AT20"/>
    <mergeCell ref="AW20:BB20"/>
    <mergeCell ref="BC20:BO20"/>
    <mergeCell ref="BP20:BQ20"/>
    <mergeCell ref="BT20:BY20"/>
    <mergeCell ref="BZ20:CL20"/>
    <mergeCell ref="CM20:CN20"/>
    <mergeCell ref="C19:H19"/>
    <mergeCell ref="I19:U19"/>
    <mergeCell ref="V19:W19"/>
    <mergeCell ref="Z19:AE19"/>
    <mergeCell ref="AF19:AR19"/>
    <mergeCell ref="AS19:AT19"/>
    <mergeCell ref="AW19:BB19"/>
    <mergeCell ref="BC19:BO19"/>
    <mergeCell ref="BP19:BQ19"/>
    <mergeCell ref="BT21:BY21"/>
    <mergeCell ref="BZ21:CL21"/>
    <mergeCell ref="CM21:CN21"/>
    <mergeCell ref="C22:H22"/>
    <mergeCell ref="I22:U22"/>
    <mergeCell ref="V22:W22"/>
    <mergeCell ref="Z22:AE22"/>
    <mergeCell ref="AF22:AR22"/>
    <mergeCell ref="AS22:AT22"/>
    <mergeCell ref="AW22:BB22"/>
    <mergeCell ref="BC22:BO22"/>
    <mergeCell ref="BP22:BQ22"/>
    <mergeCell ref="BT22:BY22"/>
    <mergeCell ref="BZ22:CL22"/>
    <mergeCell ref="CM22:CN22"/>
    <mergeCell ref="C21:H21"/>
    <mergeCell ref="I21:U21"/>
    <mergeCell ref="V21:W21"/>
    <mergeCell ref="Z21:AE21"/>
    <mergeCell ref="AF21:AR21"/>
    <mergeCell ref="AS21:AT21"/>
    <mergeCell ref="AW21:BB21"/>
    <mergeCell ref="BC21:BO21"/>
    <mergeCell ref="BP21:BQ21"/>
    <mergeCell ref="BT23:BY23"/>
    <mergeCell ref="BZ23:CL23"/>
    <mergeCell ref="CM23:CN23"/>
    <mergeCell ref="C24:H24"/>
    <mergeCell ref="I24:U24"/>
    <mergeCell ref="V24:W24"/>
    <mergeCell ref="Z24:AE24"/>
    <mergeCell ref="AF24:AR24"/>
    <mergeCell ref="AS24:AT24"/>
    <mergeCell ref="AW24:BB24"/>
    <mergeCell ref="BC24:BO24"/>
    <mergeCell ref="BP24:BQ24"/>
    <mergeCell ref="BT24:BY24"/>
    <mergeCell ref="BZ24:CL24"/>
    <mergeCell ref="CM24:CN24"/>
    <mergeCell ref="C23:H23"/>
    <mergeCell ref="I23:U23"/>
    <mergeCell ref="V23:W23"/>
    <mergeCell ref="Z23:AE23"/>
    <mergeCell ref="AF23:AR23"/>
    <mergeCell ref="AS23:AT23"/>
    <mergeCell ref="AW23:BB23"/>
    <mergeCell ref="BC23:BO23"/>
    <mergeCell ref="BP23:BQ23"/>
    <mergeCell ref="BT25:BY25"/>
    <mergeCell ref="BZ25:CL25"/>
    <mergeCell ref="CM25:CN25"/>
    <mergeCell ref="C26:H26"/>
    <mergeCell ref="I26:U26"/>
    <mergeCell ref="V26:W26"/>
    <mergeCell ref="Z26:AE26"/>
    <mergeCell ref="AF26:AR26"/>
    <mergeCell ref="AS26:AT26"/>
    <mergeCell ref="AW26:BB26"/>
    <mergeCell ref="BC26:BO26"/>
    <mergeCell ref="BP26:BQ26"/>
    <mergeCell ref="BT26:BY26"/>
    <mergeCell ref="BZ26:CL26"/>
    <mergeCell ref="CM26:CN26"/>
    <mergeCell ref="C25:H25"/>
    <mergeCell ref="I25:U25"/>
    <mergeCell ref="V25:W25"/>
    <mergeCell ref="Z25:AE25"/>
    <mergeCell ref="AF25:AR25"/>
    <mergeCell ref="AS25:AT25"/>
    <mergeCell ref="AW25:BB25"/>
    <mergeCell ref="BC25:BO25"/>
    <mergeCell ref="BP25:BQ25"/>
    <mergeCell ref="BT27:BY27"/>
    <mergeCell ref="BZ27:CL27"/>
    <mergeCell ref="CM27:CN27"/>
    <mergeCell ref="C28:H28"/>
    <mergeCell ref="I28:U28"/>
    <mergeCell ref="V28:W28"/>
    <mergeCell ref="Z28:AE28"/>
    <mergeCell ref="AF28:AR28"/>
    <mergeCell ref="AS28:AT28"/>
    <mergeCell ref="AW28:BB28"/>
    <mergeCell ref="BC28:BO28"/>
    <mergeCell ref="BP28:BQ28"/>
    <mergeCell ref="BT28:BY28"/>
    <mergeCell ref="BZ28:CL28"/>
    <mergeCell ref="CM28:CN28"/>
    <mergeCell ref="C27:H27"/>
    <mergeCell ref="I27:U27"/>
    <mergeCell ref="V27:W27"/>
    <mergeCell ref="Z27:AE27"/>
    <mergeCell ref="AF27:AR27"/>
    <mergeCell ref="AS27:AT27"/>
    <mergeCell ref="AW27:BB27"/>
    <mergeCell ref="BC27:BO27"/>
    <mergeCell ref="BP27:BQ27"/>
    <mergeCell ref="BT29:BY29"/>
    <mergeCell ref="BZ29:CL29"/>
    <mergeCell ref="CM29:CN29"/>
    <mergeCell ref="C30:H30"/>
    <mergeCell ref="I30:U30"/>
    <mergeCell ref="V30:W30"/>
    <mergeCell ref="Z30:AE30"/>
    <mergeCell ref="AF30:AR30"/>
    <mergeCell ref="AS30:AT30"/>
    <mergeCell ref="AW30:BB30"/>
    <mergeCell ref="BC30:BO30"/>
    <mergeCell ref="BP30:BQ30"/>
    <mergeCell ref="BT30:BY30"/>
    <mergeCell ref="BZ30:CL30"/>
    <mergeCell ref="CM30:CN30"/>
    <mergeCell ref="C29:H29"/>
    <mergeCell ref="I29:U29"/>
    <mergeCell ref="V29:W29"/>
    <mergeCell ref="Z29:AE29"/>
    <mergeCell ref="AF29:AR29"/>
    <mergeCell ref="AS29:AT29"/>
    <mergeCell ref="AW29:BB29"/>
    <mergeCell ref="BC29:BO29"/>
    <mergeCell ref="BP29:BQ29"/>
    <mergeCell ref="BT31:BY31"/>
    <mergeCell ref="BZ31:CL31"/>
    <mergeCell ref="CM31:CN31"/>
    <mergeCell ref="C32:H32"/>
    <mergeCell ref="I32:U32"/>
    <mergeCell ref="V32:W32"/>
    <mergeCell ref="AW32:BB32"/>
    <mergeCell ref="BC32:BO32"/>
    <mergeCell ref="BP32:BQ32"/>
    <mergeCell ref="C31:H31"/>
    <mergeCell ref="I31:U31"/>
    <mergeCell ref="V31:W31"/>
    <mergeCell ref="Z31:AE31"/>
    <mergeCell ref="AF31:AR31"/>
    <mergeCell ref="AS31:AT31"/>
    <mergeCell ref="AW31:BB31"/>
    <mergeCell ref="BC31:BO31"/>
    <mergeCell ref="BP31:BQ31"/>
    <mergeCell ref="C33:H33"/>
    <mergeCell ref="I33:U33"/>
    <mergeCell ref="V33:W33"/>
    <mergeCell ref="AW33:BB33"/>
    <mergeCell ref="BC33:BO33"/>
    <mergeCell ref="BP33:BQ33"/>
    <mergeCell ref="C34:H34"/>
    <mergeCell ref="I34:U34"/>
    <mergeCell ref="V34:W34"/>
    <mergeCell ref="AW34:BB34"/>
    <mergeCell ref="BC34:BO34"/>
    <mergeCell ref="BP34:BQ34"/>
    <mergeCell ref="C35:H35"/>
    <mergeCell ref="I35:U35"/>
    <mergeCell ref="V35:W35"/>
    <mergeCell ref="AW35:BB35"/>
    <mergeCell ref="BC35:BO35"/>
    <mergeCell ref="BP35:BQ35"/>
    <mergeCell ref="C36:H36"/>
    <mergeCell ref="I36:U36"/>
    <mergeCell ref="V36:W36"/>
    <mergeCell ref="AW36:BB36"/>
    <mergeCell ref="BC36:BO36"/>
    <mergeCell ref="BP36:BQ36"/>
    <mergeCell ref="C37:H37"/>
    <mergeCell ref="I37:U37"/>
    <mergeCell ref="V37:W37"/>
    <mergeCell ref="AW37:BB37"/>
    <mergeCell ref="BC37:BO37"/>
    <mergeCell ref="BP37:BQ37"/>
    <mergeCell ref="C38:H38"/>
    <mergeCell ref="I38:U38"/>
    <mergeCell ref="V38:W38"/>
    <mergeCell ref="AW38:BB38"/>
    <mergeCell ref="BC38:BO38"/>
    <mergeCell ref="BP38:BQ38"/>
    <mergeCell ref="C39:H39"/>
    <mergeCell ref="I39:U39"/>
    <mergeCell ref="V39:W39"/>
    <mergeCell ref="AW39:BB39"/>
    <mergeCell ref="BC39:BO39"/>
    <mergeCell ref="BP39:BQ39"/>
    <mergeCell ref="C40:H40"/>
    <mergeCell ref="I40:U40"/>
    <mergeCell ref="V40:W40"/>
    <mergeCell ref="AW40:BB40"/>
    <mergeCell ref="BC40:BO40"/>
    <mergeCell ref="BP40:BQ40"/>
    <mergeCell ref="C41:H41"/>
    <mergeCell ref="I41:U41"/>
    <mergeCell ref="V41:W41"/>
    <mergeCell ref="AW41:BB41"/>
    <mergeCell ref="BC41:BO41"/>
    <mergeCell ref="BP41:BQ41"/>
    <mergeCell ref="C42:H42"/>
    <mergeCell ref="I42:U42"/>
    <mergeCell ref="V42:W42"/>
    <mergeCell ref="AW42:BB42"/>
    <mergeCell ref="BC42:BO42"/>
    <mergeCell ref="BP42:BQ42"/>
    <mergeCell ref="C43:H43"/>
    <mergeCell ref="I43:U43"/>
    <mergeCell ref="V43:W43"/>
    <mergeCell ref="AW43:BB43"/>
    <mergeCell ref="BC43:BO43"/>
    <mergeCell ref="BP43:BQ43"/>
    <mergeCell ref="C44:H44"/>
    <mergeCell ref="I44:U44"/>
    <mergeCell ref="V44:W44"/>
    <mergeCell ref="AW44:BB44"/>
    <mergeCell ref="BC44:BO44"/>
    <mergeCell ref="BP44:BQ44"/>
    <mergeCell ref="C45:H45"/>
    <mergeCell ref="I45:U45"/>
    <mergeCell ref="V45:W45"/>
    <mergeCell ref="AW45:BB45"/>
    <mergeCell ref="BC45:BO45"/>
    <mergeCell ref="BP45:BQ45"/>
    <mergeCell ref="C46:H46"/>
    <mergeCell ref="I46:U46"/>
    <mergeCell ref="V46:W46"/>
    <mergeCell ref="AW46:BB46"/>
    <mergeCell ref="BC46:BO46"/>
    <mergeCell ref="BP46:BQ46"/>
    <mergeCell ref="C47:H47"/>
    <mergeCell ref="I47:U47"/>
    <mergeCell ref="V47:W47"/>
    <mergeCell ref="AW47:BB47"/>
    <mergeCell ref="BC47:BO47"/>
    <mergeCell ref="BP47:BQ47"/>
    <mergeCell ref="C48:H48"/>
    <mergeCell ref="I48:U48"/>
    <mergeCell ref="V48:W48"/>
    <mergeCell ref="AW48:BB48"/>
    <mergeCell ref="BC48:BO48"/>
    <mergeCell ref="BP48:BQ48"/>
    <mergeCell ref="C49:H49"/>
    <mergeCell ref="I49:U49"/>
    <mergeCell ref="V49:W49"/>
    <mergeCell ref="AW49:BB49"/>
    <mergeCell ref="BC49:BO49"/>
    <mergeCell ref="BP49:BQ49"/>
    <mergeCell ref="C50:H50"/>
    <mergeCell ref="I50:U50"/>
    <mergeCell ref="V50:W50"/>
    <mergeCell ref="AW50:BB50"/>
    <mergeCell ref="BC50:BO50"/>
    <mergeCell ref="BP50:BQ50"/>
    <mergeCell ref="C51:H51"/>
    <mergeCell ref="I51:U51"/>
    <mergeCell ref="V51:W51"/>
    <mergeCell ref="AW51:BB51"/>
    <mergeCell ref="BC51:BO51"/>
    <mergeCell ref="BP51:BQ51"/>
    <mergeCell ref="C52:H52"/>
    <mergeCell ref="I52:U52"/>
    <mergeCell ref="V52:W52"/>
    <mergeCell ref="AW52:BB52"/>
    <mergeCell ref="BC52:BO52"/>
    <mergeCell ref="BP52:BQ52"/>
    <mergeCell ref="C53:H53"/>
    <mergeCell ref="I53:U53"/>
    <mergeCell ref="V53:W53"/>
    <mergeCell ref="AW53:BB53"/>
    <mergeCell ref="BC53:BO53"/>
    <mergeCell ref="BP53:BQ53"/>
    <mergeCell ref="C54:H54"/>
    <mergeCell ref="I54:U54"/>
    <mergeCell ref="V54:W54"/>
    <mergeCell ref="AW54:BB54"/>
    <mergeCell ref="BC54:BO54"/>
    <mergeCell ref="BP54:BQ54"/>
    <mergeCell ref="C55:H55"/>
    <mergeCell ref="I55:U55"/>
    <mergeCell ref="V55:W55"/>
    <mergeCell ref="AW55:BB55"/>
    <mergeCell ref="BC55:BO55"/>
    <mergeCell ref="BP55:BQ55"/>
    <mergeCell ref="C56:H56"/>
    <mergeCell ref="I56:U56"/>
    <mergeCell ref="V56:W56"/>
    <mergeCell ref="AW56:BB56"/>
    <mergeCell ref="BC56:BO56"/>
    <mergeCell ref="BP56:BQ56"/>
    <mergeCell ref="C57:H57"/>
    <mergeCell ref="I57:U57"/>
    <mergeCell ref="V57:W57"/>
    <mergeCell ref="AW57:BB57"/>
    <mergeCell ref="BC57:BO57"/>
    <mergeCell ref="BP57:BQ57"/>
    <mergeCell ref="C58:H58"/>
    <mergeCell ref="I58:U58"/>
    <mergeCell ref="V58:W58"/>
    <mergeCell ref="AW58:BB58"/>
    <mergeCell ref="BC58:BO58"/>
    <mergeCell ref="BP58:BQ58"/>
  </mergeCells>
  <phoneticPr fontId="86"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7" tint="0.59999389629810485"/>
  </sheetPr>
  <dimension ref="B1:AX53"/>
  <sheetViews>
    <sheetView zoomScale="75" zoomScaleNormal="75" workbookViewId="0">
      <selection activeCell="X3" sqref="X3"/>
    </sheetView>
  </sheetViews>
  <sheetFormatPr defaultColWidth="9" defaultRowHeight="15.6" x14ac:dyDescent="0.25"/>
  <cols>
    <col min="1" max="1" width="4.77734375" style="101" customWidth="1"/>
    <col min="2" max="2" width="2.77734375" style="101" customWidth="1"/>
    <col min="3" max="18" width="5.77734375" style="101" customWidth="1"/>
    <col min="19" max="20" width="2.77734375" style="101" customWidth="1"/>
    <col min="21" max="21" width="4.33203125" style="101" customWidth="1"/>
    <col min="22" max="22" width="2.33203125" style="102" customWidth="1"/>
    <col min="23" max="23" width="0.77734375" style="102" customWidth="1"/>
    <col min="24" max="24" width="15.33203125" style="101" customWidth="1"/>
    <col min="25" max="25" width="0.77734375" style="101" customWidth="1"/>
    <col min="26" max="26" width="4.33203125" style="101" customWidth="1"/>
    <col min="27" max="27" width="2.33203125" style="101" customWidth="1"/>
    <col min="28" max="28" width="0.77734375" style="101" customWidth="1"/>
    <col min="29" max="29" width="15.33203125" style="101" customWidth="1"/>
    <col min="30" max="30" width="0.77734375" style="101" customWidth="1"/>
    <col min="31" max="31" width="4.33203125" style="101" customWidth="1"/>
    <col min="32" max="32" width="2.33203125" style="101" customWidth="1"/>
    <col min="33" max="33" width="0.77734375" style="101" customWidth="1"/>
    <col min="34" max="34" width="15.33203125" style="101" customWidth="1"/>
    <col min="35" max="35" width="0.77734375" style="101" customWidth="1"/>
    <col min="36" max="36" width="4.33203125" style="101" customWidth="1"/>
    <col min="37" max="37" width="2.33203125" style="101" customWidth="1"/>
    <col min="38" max="38" width="0.77734375" style="101" customWidth="1"/>
    <col min="39" max="39" width="15.33203125" style="101" customWidth="1"/>
    <col min="40" max="40" width="0.77734375" style="101" customWidth="1"/>
    <col min="41" max="42" width="2.77734375" style="101" customWidth="1"/>
    <col min="43" max="49" width="8.77734375" style="101" customWidth="1"/>
    <col min="50" max="16384" width="9" style="101"/>
  </cols>
  <sheetData>
    <row r="1" spans="2:50" s="100" customFormat="1" x14ac:dyDescent="0.25">
      <c r="V1" s="103"/>
      <c r="W1" s="103"/>
    </row>
    <row r="2" spans="2:50" ht="17.7" customHeight="1" x14ac:dyDescent="0.25">
      <c r="B2" s="351"/>
      <c r="C2" s="784" t="s">
        <v>2263</v>
      </c>
      <c r="D2" s="784"/>
      <c r="E2" s="784"/>
      <c r="F2" s="784"/>
      <c r="G2" s="352"/>
      <c r="H2" s="352"/>
      <c r="I2" s="352"/>
      <c r="J2" s="352"/>
      <c r="K2" s="352"/>
      <c r="L2" s="352"/>
      <c r="M2" s="352"/>
      <c r="N2" s="352"/>
      <c r="O2" s="352"/>
      <c r="P2" s="352"/>
      <c r="Q2" s="352"/>
      <c r="R2" s="352"/>
      <c r="S2" s="353"/>
      <c r="T2" s="352"/>
      <c r="U2" s="788" t="s">
        <v>2264</v>
      </c>
      <c r="V2" s="788"/>
      <c r="W2" s="788"/>
      <c r="X2" s="788"/>
      <c r="Y2" s="352"/>
      <c r="Z2" s="789" t="s">
        <v>2265</v>
      </c>
      <c r="AA2" s="789"/>
      <c r="AB2" s="789"/>
      <c r="AC2" s="789"/>
      <c r="AD2" s="789"/>
      <c r="AE2" s="789"/>
      <c r="AF2" s="789"/>
      <c r="AG2" s="789"/>
      <c r="AH2" s="789"/>
      <c r="AI2" s="789"/>
      <c r="AJ2" s="352"/>
      <c r="AK2" s="352"/>
      <c r="AL2" s="352"/>
      <c r="AM2" s="352"/>
      <c r="AN2" s="352"/>
      <c r="AO2" s="353"/>
      <c r="AQ2" s="754" t="s">
        <v>2266</v>
      </c>
      <c r="AR2" s="755"/>
      <c r="AS2" s="755"/>
      <c r="AT2" s="755"/>
      <c r="AU2" s="755"/>
      <c r="AV2" s="755"/>
      <c r="AW2" s="755"/>
      <c r="AX2" s="756"/>
    </row>
    <row r="3" spans="2:50" ht="17.7" customHeight="1" x14ac:dyDescent="0.25">
      <c r="B3" s="785"/>
      <c r="C3" s="763" t="str" cm="1">
        <f t="array" aca="1" ref="C3" ca="1">IF(IFERROR(ERROR.TYPE(IF(VLOOKUP(INDIRECT(CELL("address")),法术大全!A3:A594,1,0)=FALSE,"",INDIRECT(CELL("address")))),0)=7,"",INDIRECT(CELL("address")))</f>
        <v/>
      </c>
      <c r="D3" s="764"/>
      <c r="E3" s="764"/>
      <c r="F3" s="764"/>
      <c r="G3" s="764"/>
      <c r="H3" s="764"/>
      <c r="I3" s="764"/>
      <c r="J3" s="764"/>
      <c r="K3" s="764"/>
      <c r="L3" s="764"/>
      <c r="M3" s="764"/>
      <c r="N3" s="764"/>
      <c r="O3" s="764"/>
      <c r="P3" s="764"/>
      <c r="Q3" s="764"/>
      <c r="R3" s="765"/>
      <c r="S3" s="792"/>
      <c r="T3" s="361"/>
      <c r="U3" s="362">
        <v>1</v>
      </c>
      <c r="V3" s="104" t="str">
        <f>IFERROR(VLOOKUP(X3,法术大全!A:Y,2,FALSE),"")</f>
        <v/>
      </c>
      <c r="W3" s="105" t="str">
        <f>数据表!C2</f>
        <v/>
      </c>
      <c r="X3" s="106"/>
      <c r="Y3" s="108" t="str">
        <f>数据表!D2</f>
        <v/>
      </c>
      <c r="Z3" s="362">
        <v>51</v>
      </c>
      <c r="AA3" s="109" t="str">
        <f>IFERROR(VLOOKUP(AC3,法术大全!A:Y,2,FALSE),"")</f>
        <v/>
      </c>
      <c r="AB3" s="107" t="str">
        <f>数据表!C52</f>
        <v/>
      </c>
      <c r="AC3" s="106"/>
      <c r="AD3" s="108" t="str">
        <f>数据表!D52</f>
        <v/>
      </c>
      <c r="AE3" s="363">
        <v>101</v>
      </c>
      <c r="AF3" s="104" t="str">
        <f>IFERROR(VLOOKUP(AH3,法术大全!A:Y,2,FALSE),"")</f>
        <v/>
      </c>
      <c r="AG3" s="105" t="str">
        <f>数据表!C102</f>
        <v/>
      </c>
      <c r="AH3" s="106"/>
      <c r="AI3" s="108" t="str">
        <f>数据表!D102</f>
        <v/>
      </c>
      <c r="AJ3" s="364">
        <v>151</v>
      </c>
      <c r="AK3" s="109" t="str">
        <f>IFERROR(VLOOKUP(AM3,法术大全!A:Y,2,FALSE),"")</f>
        <v/>
      </c>
      <c r="AL3" s="105" t="str">
        <f>数据表!C152</f>
        <v/>
      </c>
      <c r="AM3" s="106"/>
      <c r="AN3" s="108" t="str">
        <f>数据表!D152</f>
        <v/>
      </c>
      <c r="AO3" s="354"/>
      <c r="AQ3" s="757"/>
      <c r="AR3" s="758"/>
      <c r="AS3" s="758"/>
      <c r="AT3" s="758"/>
      <c r="AU3" s="758"/>
      <c r="AV3" s="758"/>
      <c r="AW3" s="758"/>
      <c r="AX3" s="759"/>
    </row>
    <row r="4" spans="2:50" ht="17.7" customHeight="1" x14ac:dyDescent="0.25">
      <c r="B4" s="785"/>
      <c r="C4" s="766"/>
      <c r="D4" s="767"/>
      <c r="E4" s="767"/>
      <c r="F4" s="767"/>
      <c r="G4" s="767"/>
      <c r="H4" s="767"/>
      <c r="I4" s="767"/>
      <c r="J4" s="767"/>
      <c r="K4" s="767"/>
      <c r="L4" s="767"/>
      <c r="M4" s="767"/>
      <c r="N4" s="767"/>
      <c r="O4" s="767"/>
      <c r="P4" s="767"/>
      <c r="Q4" s="767"/>
      <c r="R4" s="768"/>
      <c r="S4" s="792"/>
      <c r="T4" s="361"/>
      <c r="U4" s="362">
        <v>2</v>
      </c>
      <c r="V4" s="104" t="str">
        <f>IFERROR(VLOOKUP(X4,法术大全!A:Y,2,FALSE),"")</f>
        <v/>
      </c>
      <c r="W4" s="105" t="str">
        <f>数据表!C3</f>
        <v/>
      </c>
      <c r="X4" s="106"/>
      <c r="Y4" s="108" t="str">
        <f>数据表!D3</f>
        <v/>
      </c>
      <c r="Z4" s="362">
        <v>52</v>
      </c>
      <c r="AA4" s="109" t="str">
        <f>IFERROR(VLOOKUP(AC4,法术大全!A:Y,2,FALSE),"")</f>
        <v/>
      </c>
      <c r="AB4" s="107" t="str">
        <f>数据表!C53</f>
        <v/>
      </c>
      <c r="AC4" s="106"/>
      <c r="AD4" s="108" t="str">
        <f>数据表!D53</f>
        <v/>
      </c>
      <c r="AE4" s="363">
        <v>102</v>
      </c>
      <c r="AF4" s="104" t="str">
        <f>IFERROR(VLOOKUP(AH4,法术大全!A:Y,2,FALSE),"")</f>
        <v/>
      </c>
      <c r="AG4" s="105" t="str">
        <f>数据表!C103</f>
        <v/>
      </c>
      <c r="AH4" s="106"/>
      <c r="AI4" s="108" t="str">
        <f>数据表!D103</f>
        <v/>
      </c>
      <c r="AJ4" s="365">
        <v>152</v>
      </c>
      <c r="AK4" s="109" t="str">
        <f>IFERROR(VLOOKUP(AM4,法术大全!A:Y,2,FALSE),"")</f>
        <v/>
      </c>
      <c r="AL4" s="105" t="str">
        <f>数据表!C153</f>
        <v/>
      </c>
      <c r="AM4" s="106"/>
      <c r="AN4" s="108" t="str">
        <f>数据表!D153</f>
        <v/>
      </c>
      <c r="AO4" s="354"/>
      <c r="AQ4" s="757"/>
      <c r="AR4" s="758"/>
      <c r="AS4" s="758"/>
      <c r="AT4" s="758"/>
      <c r="AU4" s="758"/>
      <c r="AV4" s="758"/>
      <c r="AW4" s="758"/>
      <c r="AX4" s="759"/>
    </row>
    <row r="5" spans="2:50" ht="17.7" customHeight="1" x14ac:dyDescent="0.25">
      <c r="B5" s="785"/>
      <c r="C5" s="766"/>
      <c r="D5" s="767"/>
      <c r="E5" s="767"/>
      <c r="F5" s="767"/>
      <c r="G5" s="767"/>
      <c r="H5" s="767"/>
      <c r="I5" s="767"/>
      <c r="J5" s="767"/>
      <c r="K5" s="767"/>
      <c r="L5" s="767"/>
      <c r="M5" s="767"/>
      <c r="N5" s="767"/>
      <c r="O5" s="767"/>
      <c r="P5" s="767"/>
      <c r="Q5" s="767"/>
      <c r="R5" s="768"/>
      <c r="S5" s="792"/>
      <c r="T5" s="361"/>
      <c r="U5" s="362">
        <v>3</v>
      </c>
      <c r="V5" s="104" t="str">
        <f>IFERROR(VLOOKUP(X5,法术大全!A:Y,2,FALSE),"")</f>
        <v/>
      </c>
      <c r="W5" s="105" t="str">
        <f>数据表!C4</f>
        <v/>
      </c>
      <c r="X5" s="106"/>
      <c r="Y5" s="108" t="str">
        <f>数据表!D4</f>
        <v/>
      </c>
      <c r="Z5" s="362">
        <v>53</v>
      </c>
      <c r="AA5" s="109" t="str">
        <f>IFERROR(VLOOKUP(AC5,法术大全!A:Y,2,FALSE),"")</f>
        <v/>
      </c>
      <c r="AB5" s="107" t="str">
        <f>数据表!C54</f>
        <v/>
      </c>
      <c r="AC5" s="106"/>
      <c r="AD5" s="108" t="str">
        <f>数据表!D54</f>
        <v/>
      </c>
      <c r="AE5" s="363">
        <v>103</v>
      </c>
      <c r="AF5" s="104" t="str">
        <f>IFERROR(VLOOKUP(AH5,法术大全!A:Y,2,FALSE),"")</f>
        <v/>
      </c>
      <c r="AG5" s="105" t="str">
        <f>数据表!C104</f>
        <v/>
      </c>
      <c r="AH5" s="106"/>
      <c r="AI5" s="108" t="str">
        <f>数据表!D104</f>
        <v/>
      </c>
      <c r="AJ5" s="365">
        <v>153</v>
      </c>
      <c r="AK5" s="109" t="str">
        <f>IFERROR(VLOOKUP(AM5,法术大全!A:Y,2,FALSE),"")</f>
        <v/>
      </c>
      <c r="AL5" s="105" t="str">
        <f>数据表!C154</f>
        <v/>
      </c>
      <c r="AM5" s="106"/>
      <c r="AN5" s="108" t="str">
        <f>数据表!D154</f>
        <v/>
      </c>
      <c r="AO5" s="354"/>
      <c r="AQ5" s="757"/>
      <c r="AR5" s="758"/>
      <c r="AS5" s="758"/>
      <c r="AT5" s="758"/>
      <c r="AU5" s="758"/>
      <c r="AV5" s="758"/>
      <c r="AW5" s="758"/>
      <c r="AX5" s="759"/>
    </row>
    <row r="6" spans="2:50" ht="17.7" customHeight="1" x14ac:dyDescent="0.25">
      <c r="B6" s="785"/>
      <c r="C6" s="769"/>
      <c r="D6" s="770"/>
      <c r="E6" s="770"/>
      <c r="F6" s="770"/>
      <c r="G6" s="770"/>
      <c r="H6" s="770"/>
      <c r="I6" s="770"/>
      <c r="J6" s="770"/>
      <c r="K6" s="770"/>
      <c r="L6" s="770"/>
      <c r="M6" s="770"/>
      <c r="N6" s="770"/>
      <c r="O6" s="770"/>
      <c r="P6" s="770"/>
      <c r="Q6" s="770"/>
      <c r="R6" s="771"/>
      <c r="S6" s="792"/>
      <c r="T6" s="361"/>
      <c r="U6" s="362">
        <v>4</v>
      </c>
      <c r="V6" s="104" t="str">
        <f>IFERROR(VLOOKUP(X6,法术大全!A:Y,2,FALSE),"")</f>
        <v/>
      </c>
      <c r="W6" s="105" t="str">
        <f>数据表!C5</f>
        <v/>
      </c>
      <c r="X6" s="106"/>
      <c r="Y6" s="108" t="str">
        <f>数据表!D5</f>
        <v/>
      </c>
      <c r="Z6" s="362">
        <v>54</v>
      </c>
      <c r="AA6" s="109" t="str">
        <f>IFERROR(VLOOKUP(AC6,法术大全!A:Y,2,FALSE),"")</f>
        <v/>
      </c>
      <c r="AB6" s="107" t="str">
        <f>数据表!C55</f>
        <v/>
      </c>
      <c r="AC6" s="106"/>
      <c r="AD6" s="108" t="str">
        <f>数据表!D55</f>
        <v/>
      </c>
      <c r="AE6" s="363">
        <v>104</v>
      </c>
      <c r="AF6" s="104" t="str">
        <f>IFERROR(VLOOKUP(AH6,法术大全!A:Y,2,FALSE),"")</f>
        <v/>
      </c>
      <c r="AG6" s="105" t="str">
        <f>数据表!C105</f>
        <v/>
      </c>
      <c r="AH6" s="106"/>
      <c r="AI6" s="108" t="str">
        <f>数据表!D105</f>
        <v/>
      </c>
      <c r="AJ6" s="365">
        <v>154</v>
      </c>
      <c r="AK6" s="109" t="str">
        <f>IFERROR(VLOOKUP(AM6,法术大全!A:Y,2,FALSE),"")</f>
        <v/>
      </c>
      <c r="AL6" s="105" t="str">
        <f>数据表!C155</f>
        <v/>
      </c>
      <c r="AM6" s="106"/>
      <c r="AN6" s="108" t="str">
        <f>数据表!D155</f>
        <v/>
      </c>
      <c r="AO6" s="354"/>
      <c r="AQ6" s="757"/>
      <c r="AR6" s="758"/>
      <c r="AS6" s="758"/>
      <c r="AT6" s="758"/>
      <c r="AU6" s="758"/>
      <c r="AV6" s="758"/>
      <c r="AW6" s="758"/>
      <c r="AX6" s="759"/>
    </row>
    <row r="7" spans="2:50" ht="17.7" customHeight="1" x14ac:dyDescent="0.25">
      <c r="B7" s="785"/>
      <c r="C7" s="781"/>
      <c r="D7" s="781"/>
      <c r="E7" s="781"/>
      <c r="F7" s="781"/>
      <c r="G7" s="781"/>
      <c r="H7" s="781"/>
      <c r="I7" s="781"/>
      <c r="J7" s="781"/>
      <c r="K7" s="781"/>
      <c r="L7" s="781"/>
      <c r="M7" s="781"/>
      <c r="N7" s="781"/>
      <c r="O7" s="781"/>
      <c r="P7" s="781"/>
      <c r="Q7" s="781"/>
      <c r="R7" s="781"/>
      <c r="S7" s="792"/>
      <c r="T7" s="361"/>
      <c r="U7" s="362">
        <v>5</v>
      </c>
      <c r="V7" s="104" t="str">
        <f>IFERROR(VLOOKUP(X7,法术大全!A:Y,2,FALSE),"")</f>
        <v/>
      </c>
      <c r="W7" s="105" t="str">
        <f>数据表!C6</f>
        <v/>
      </c>
      <c r="X7" s="106"/>
      <c r="Y7" s="108" t="str">
        <f>数据表!D6</f>
        <v/>
      </c>
      <c r="Z7" s="362">
        <v>55</v>
      </c>
      <c r="AA7" s="109" t="str">
        <f>IFERROR(VLOOKUP(AC7,法术大全!A:Y,2,FALSE),"")</f>
        <v/>
      </c>
      <c r="AB7" s="107" t="str">
        <f>数据表!C56</f>
        <v/>
      </c>
      <c r="AC7" s="106"/>
      <c r="AD7" s="108" t="str">
        <f>数据表!D56</f>
        <v/>
      </c>
      <c r="AE7" s="363">
        <v>105</v>
      </c>
      <c r="AF7" s="104" t="str">
        <f>IFERROR(VLOOKUP(AH7,法术大全!A:Y,2,FALSE),"")</f>
        <v/>
      </c>
      <c r="AG7" s="105" t="str">
        <f>数据表!C106</f>
        <v/>
      </c>
      <c r="AH7" s="106"/>
      <c r="AI7" s="108" t="str">
        <f>数据表!D106</f>
        <v/>
      </c>
      <c r="AJ7" s="365">
        <v>155</v>
      </c>
      <c r="AK7" s="109" t="str">
        <f>IFERROR(VLOOKUP(AM7,法术大全!A:Y,2,FALSE),"")</f>
        <v/>
      </c>
      <c r="AL7" s="105" t="str">
        <f>数据表!C156</f>
        <v/>
      </c>
      <c r="AM7" s="106"/>
      <c r="AN7" s="108" t="str">
        <f>数据表!D156</f>
        <v/>
      </c>
      <c r="AO7" s="354"/>
      <c r="AQ7" s="757"/>
      <c r="AR7" s="758"/>
      <c r="AS7" s="758"/>
      <c r="AT7" s="758"/>
      <c r="AU7" s="758"/>
      <c r="AV7" s="758"/>
      <c r="AW7" s="758"/>
      <c r="AX7" s="759"/>
    </row>
    <row r="8" spans="2:50" ht="17.7" customHeight="1" x14ac:dyDescent="0.25">
      <c r="B8" s="785"/>
      <c r="C8" s="782" t="str">
        <f ca="1">IFERROR(VLOOKUP(C3,法术大全!A:Y,14,FALSE),"")</f>
        <v xml:space="preserve"> </v>
      </c>
      <c r="D8" s="783"/>
      <c r="E8" s="783"/>
      <c r="F8" s="783"/>
      <c r="G8" s="783"/>
      <c r="H8" s="783"/>
      <c r="I8" s="783"/>
      <c r="J8" s="783"/>
      <c r="K8" s="366"/>
      <c r="L8" s="357"/>
      <c r="M8" s="790" t="s">
        <v>2267</v>
      </c>
      <c r="N8" s="790"/>
      <c r="O8" s="791" t="str">
        <f ca="1">IF(C3="","",VLOOKUP(C3,法术大全!A:Z,26,FALSE))</f>
        <v/>
      </c>
      <c r="P8" s="791"/>
      <c r="Q8" s="791"/>
      <c r="R8" s="791"/>
      <c r="S8" s="792"/>
      <c r="T8" s="361"/>
      <c r="U8" s="362">
        <v>6</v>
      </c>
      <c r="V8" s="104" t="str">
        <f>IFERROR(VLOOKUP(X8,法术大全!A:Y,2,FALSE),"")</f>
        <v/>
      </c>
      <c r="W8" s="105" t="str">
        <f>数据表!C7</f>
        <v/>
      </c>
      <c r="X8" s="106"/>
      <c r="Y8" s="108" t="str">
        <f>数据表!D7</f>
        <v/>
      </c>
      <c r="Z8" s="362">
        <v>56</v>
      </c>
      <c r="AA8" s="109" t="str">
        <f>IFERROR(VLOOKUP(AC8,法术大全!A:Y,2,FALSE),"")</f>
        <v/>
      </c>
      <c r="AB8" s="107" t="str">
        <f>数据表!C57</f>
        <v/>
      </c>
      <c r="AC8" s="106"/>
      <c r="AD8" s="108" t="str">
        <f>数据表!D57</f>
        <v/>
      </c>
      <c r="AE8" s="363">
        <v>106</v>
      </c>
      <c r="AF8" s="104" t="str">
        <f>IFERROR(VLOOKUP(AH8,法术大全!A:Y,2,FALSE),"")</f>
        <v/>
      </c>
      <c r="AG8" s="105" t="str">
        <f>数据表!C107</f>
        <v/>
      </c>
      <c r="AH8" s="106"/>
      <c r="AI8" s="108" t="str">
        <f>数据表!D107</f>
        <v/>
      </c>
      <c r="AJ8" s="365">
        <v>156</v>
      </c>
      <c r="AK8" s="109" t="str">
        <f>IFERROR(VLOOKUP(AM8,法术大全!A:Y,2,FALSE),"")</f>
        <v/>
      </c>
      <c r="AL8" s="105" t="str">
        <f>数据表!C157</f>
        <v/>
      </c>
      <c r="AM8" s="106"/>
      <c r="AN8" s="108" t="str">
        <f>数据表!D157</f>
        <v/>
      </c>
      <c r="AO8" s="354"/>
      <c r="AQ8" s="757"/>
      <c r="AR8" s="758"/>
      <c r="AS8" s="758"/>
      <c r="AT8" s="758"/>
      <c r="AU8" s="758"/>
      <c r="AV8" s="758"/>
      <c r="AW8" s="758"/>
      <c r="AX8" s="759"/>
    </row>
    <row r="9" spans="2:50" ht="17.7" customHeight="1" x14ac:dyDescent="0.25">
      <c r="B9" s="785"/>
      <c r="C9" s="772" t="s">
        <v>2268</v>
      </c>
      <c r="D9" s="772"/>
      <c r="E9" s="774" t="str">
        <f ca="1">IF(C3="","",CONCATENATE(IF(VLOOKUP(C3,法术大全!A:Y,15,0)="√","吟游诗人 ",""),IF(VLOOKUP(C3,法术大全!A:Y,16,0)="√","牧师 ",""),IF(VLOOKUP(C3,法术大全!A:Y,17,0)="√","德鲁伊 ",""),IF(VLOOKUP(C3,法术大全!A:Y,18,0)="√","圣武士 ",""),IF(VLOOKUP(C3,法术大全!A:Y,19,0)="√","游侠 ",""),IF(VLOOKUP(C3,法术大全!A:Y,20,0)="√","术士 ",""),IF(VLOOKUP(C3,法术大全!A:Y,21,0)="√","魔契师 ",""),IF(VLOOKUP(C3,法术大全!A:Y,22,0)="√","法师 ",""),IF(VLOOKUP(C3,法术大全!A:Y,23,0)="√","奇械师 ","")))</f>
        <v/>
      </c>
      <c r="F9" s="775"/>
      <c r="G9" s="775"/>
      <c r="H9" s="775"/>
      <c r="I9" s="775"/>
      <c r="J9" s="776"/>
      <c r="K9" s="772" t="s">
        <v>2269</v>
      </c>
      <c r="L9" s="772"/>
      <c r="M9" s="773" t="str">
        <f ca="1">IF(C3="","",IF(VLOOKUP(C3,法术大全!A:Y,2,FALSE),CONCATENATE(VLOOKUP(C3,法术大全!A:Y,2,FALSE),"环"),"戏法"))</f>
        <v/>
      </c>
      <c r="N9" s="773"/>
      <c r="O9" s="772" t="s">
        <v>2270</v>
      </c>
      <c r="P9" s="772"/>
      <c r="Q9" s="773" t="str">
        <f ca="1">IFERROR(VLOOKUP(C3,法术大全!A:Y,3,FALSE),"")</f>
        <v/>
      </c>
      <c r="R9" s="773"/>
      <c r="S9" s="792"/>
      <c r="T9" s="361"/>
      <c r="U9" s="362">
        <v>7</v>
      </c>
      <c r="V9" s="104" t="str">
        <f>IFERROR(VLOOKUP(X9,法术大全!A:Y,2,FALSE),"")</f>
        <v/>
      </c>
      <c r="W9" s="105" t="str">
        <f>数据表!C8</f>
        <v/>
      </c>
      <c r="X9" s="106"/>
      <c r="Y9" s="108" t="str">
        <f>数据表!D8</f>
        <v/>
      </c>
      <c r="Z9" s="362">
        <v>57</v>
      </c>
      <c r="AA9" s="109" t="str">
        <f>IFERROR(VLOOKUP(AC9,法术大全!A:Y,2,FALSE),"")</f>
        <v/>
      </c>
      <c r="AB9" s="107" t="str">
        <f>数据表!C58</f>
        <v/>
      </c>
      <c r="AC9" s="106"/>
      <c r="AD9" s="108" t="str">
        <f>数据表!D58</f>
        <v/>
      </c>
      <c r="AE9" s="363">
        <v>107</v>
      </c>
      <c r="AF9" s="104" t="str">
        <f>IFERROR(VLOOKUP(AH9,法术大全!A:Y,2,FALSE),"")</f>
        <v/>
      </c>
      <c r="AG9" s="105" t="str">
        <f>数据表!C108</f>
        <v/>
      </c>
      <c r="AH9" s="106"/>
      <c r="AI9" s="108" t="str">
        <f>数据表!D108</f>
        <v/>
      </c>
      <c r="AJ9" s="365">
        <v>157</v>
      </c>
      <c r="AK9" s="109" t="str">
        <f>IFERROR(VLOOKUP(AM9,法术大全!A:Y,2,FALSE),"")</f>
        <v/>
      </c>
      <c r="AL9" s="105" t="str">
        <f>数据表!C158</f>
        <v/>
      </c>
      <c r="AM9" s="106"/>
      <c r="AN9" s="108" t="str">
        <f>数据表!D158</f>
        <v/>
      </c>
      <c r="AO9" s="354"/>
      <c r="AQ9" s="757"/>
      <c r="AR9" s="758"/>
      <c r="AS9" s="758"/>
      <c r="AT9" s="758"/>
      <c r="AU9" s="758"/>
      <c r="AV9" s="758"/>
      <c r="AW9" s="758"/>
      <c r="AX9" s="759"/>
    </row>
    <row r="10" spans="2:50" ht="17.7" customHeight="1" x14ac:dyDescent="0.25">
      <c r="B10" s="785"/>
      <c r="C10" s="772"/>
      <c r="D10" s="772"/>
      <c r="E10" s="777"/>
      <c r="F10" s="778"/>
      <c r="G10" s="778"/>
      <c r="H10" s="778"/>
      <c r="I10" s="778"/>
      <c r="J10" s="779"/>
      <c r="K10" s="772"/>
      <c r="L10" s="772"/>
      <c r="M10" s="773"/>
      <c r="N10" s="773"/>
      <c r="O10" s="772"/>
      <c r="P10" s="772"/>
      <c r="Q10" s="773"/>
      <c r="R10" s="773"/>
      <c r="S10" s="792"/>
      <c r="T10" s="361"/>
      <c r="U10" s="362">
        <v>8</v>
      </c>
      <c r="V10" s="104" t="str">
        <f>IFERROR(VLOOKUP(X10,法术大全!A:Y,2,FALSE),"")</f>
        <v/>
      </c>
      <c r="W10" s="105" t="str">
        <f>数据表!C9</f>
        <v/>
      </c>
      <c r="X10" s="106"/>
      <c r="Y10" s="108" t="str">
        <f>数据表!D9</f>
        <v/>
      </c>
      <c r="Z10" s="362">
        <v>58</v>
      </c>
      <c r="AA10" s="109" t="str">
        <f>IFERROR(VLOOKUP(AC10,法术大全!A:Y,2,FALSE),"")</f>
        <v/>
      </c>
      <c r="AB10" s="107" t="str">
        <f>数据表!C59</f>
        <v/>
      </c>
      <c r="AC10" s="106"/>
      <c r="AD10" s="108" t="str">
        <f>数据表!D59</f>
        <v/>
      </c>
      <c r="AE10" s="363">
        <v>108</v>
      </c>
      <c r="AF10" s="104" t="str">
        <f>IFERROR(VLOOKUP(AH10,法术大全!A:Y,2,FALSE),"")</f>
        <v/>
      </c>
      <c r="AG10" s="105" t="str">
        <f>数据表!C109</f>
        <v/>
      </c>
      <c r="AH10" s="106"/>
      <c r="AI10" s="108" t="str">
        <f>数据表!D109</f>
        <v/>
      </c>
      <c r="AJ10" s="365">
        <v>158</v>
      </c>
      <c r="AK10" s="109" t="str">
        <f>IFERROR(VLOOKUP(AM10,法术大全!A:Y,2,FALSE),"")</f>
        <v/>
      </c>
      <c r="AL10" s="105" t="str">
        <f>数据表!C159</f>
        <v/>
      </c>
      <c r="AM10" s="106"/>
      <c r="AN10" s="108" t="str">
        <f>数据表!D159</f>
        <v/>
      </c>
      <c r="AO10" s="354"/>
      <c r="AQ10" s="757"/>
      <c r="AR10" s="758"/>
      <c r="AS10" s="758"/>
      <c r="AT10" s="758"/>
      <c r="AU10" s="758"/>
      <c r="AV10" s="758"/>
      <c r="AW10" s="758"/>
      <c r="AX10" s="759"/>
    </row>
    <row r="11" spans="2:50" ht="17.7" customHeight="1" x14ac:dyDescent="0.25">
      <c r="B11" s="785"/>
      <c r="C11" s="772" t="s">
        <v>2271</v>
      </c>
      <c r="D11" s="772"/>
      <c r="E11" s="780" t="str">
        <f ca="1">IFERROR(VLOOKUP(C3,法术大全!A:Y,6,FALSE),"")</f>
        <v/>
      </c>
      <c r="F11" s="780"/>
      <c r="G11" s="780"/>
      <c r="H11" s="780"/>
      <c r="I11" s="780"/>
      <c r="J11" s="780"/>
      <c r="K11" s="772" t="s">
        <v>2272</v>
      </c>
      <c r="L11" s="772"/>
      <c r="M11" s="773" t="str">
        <f ca="1">IFERROR(VLOOKUP(C3,法术大全!A:Y,7,FALSE),"")</f>
        <v/>
      </c>
      <c r="N11" s="773"/>
      <c r="O11" s="773"/>
      <c r="P11" s="773"/>
      <c r="Q11" s="773"/>
      <c r="R11" s="773"/>
      <c r="S11" s="792"/>
      <c r="T11" s="361"/>
      <c r="U11" s="362">
        <v>9</v>
      </c>
      <c r="V11" s="104" t="str">
        <f>IFERROR(VLOOKUP(X11,法术大全!A:Y,2,FALSE),"")</f>
        <v/>
      </c>
      <c r="W11" s="105" t="str">
        <f>数据表!C10</f>
        <v/>
      </c>
      <c r="X11" s="106"/>
      <c r="Y11" s="108" t="str">
        <f>数据表!D10</f>
        <v/>
      </c>
      <c r="Z11" s="362">
        <v>59</v>
      </c>
      <c r="AA11" s="109" t="str">
        <f>IFERROR(VLOOKUP(AC11,法术大全!A:Y,2,FALSE),"")</f>
        <v/>
      </c>
      <c r="AB11" s="107" t="str">
        <f>数据表!C60</f>
        <v/>
      </c>
      <c r="AC11" s="106"/>
      <c r="AD11" s="108" t="str">
        <f>数据表!D60</f>
        <v/>
      </c>
      <c r="AE11" s="363">
        <v>109</v>
      </c>
      <c r="AF11" s="104" t="str">
        <f>IFERROR(VLOOKUP(AH11,法术大全!A:Y,2,FALSE),"")</f>
        <v/>
      </c>
      <c r="AG11" s="105" t="str">
        <f>数据表!C110</f>
        <v/>
      </c>
      <c r="AH11" s="106"/>
      <c r="AI11" s="108" t="str">
        <f>数据表!D110</f>
        <v/>
      </c>
      <c r="AJ11" s="365">
        <v>159</v>
      </c>
      <c r="AK11" s="109" t="str">
        <f>IFERROR(VLOOKUP(AM11,法术大全!A:Y,2,FALSE),"")</f>
        <v/>
      </c>
      <c r="AL11" s="105" t="str">
        <f>数据表!C160</f>
        <v/>
      </c>
      <c r="AM11" s="106"/>
      <c r="AN11" s="108" t="str">
        <f>数据表!D160</f>
        <v/>
      </c>
      <c r="AO11" s="354"/>
      <c r="AQ11" s="757"/>
      <c r="AR11" s="758"/>
      <c r="AS11" s="758"/>
      <c r="AT11" s="758"/>
      <c r="AU11" s="758"/>
      <c r="AV11" s="758"/>
      <c r="AW11" s="758"/>
      <c r="AX11" s="759"/>
    </row>
    <row r="12" spans="2:50" ht="17.7" customHeight="1" x14ac:dyDescent="0.25">
      <c r="B12" s="785"/>
      <c r="C12" s="772"/>
      <c r="D12" s="772"/>
      <c r="E12" s="780"/>
      <c r="F12" s="780"/>
      <c r="G12" s="780"/>
      <c r="H12" s="780"/>
      <c r="I12" s="780"/>
      <c r="J12" s="780"/>
      <c r="K12" s="772"/>
      <c r="L12" s="772"/>
      <c r="M12" s="773"/>
      <c r="N12" s="773"/>
      <c r="O12" s="773"/>
      <c r="P12" s="773"/>
      <c r="Q12" s="773"/>
      <c r="R12" s="773"/>
      <c r="S12" s="792"/>
      <c r="T12" s="361"/>
      <c r="U12" s="362">
        <v>10</v>
      </c>
      <c r="V12" s="104" t="str">
        <f>IFERROR(VLOOKUP(X12,法术大全!A:Y,2,FALSE),"")</f>
        <v/>
      </c>
      <c r="W12" s="105" t="str">
        <f>数据表!C11</f>
        <v/>
      </c>
      <c r="X12" s="106"/>
      <c r="Y12" s="108" t="str">
        <f>数据表!D11</f>
        <v/>
      </c>
      <c r="Z12" s="362">
        <v>60</v>
      </c>
      <c r="AA12" s="109" t="str">
        <f>IFERROR(VLOOKUP(AC12,法术大全!A:Y,2,FALSE),"")</f>
        <v/>
      </c>
      <c r="AB12" s="107" t="str">
        <f>数据表!C61</f>
        <v/>
      </c>
      <c r="AC12" s="106"/>
      <c r="AD12" s="108" t="str">
        <f>数据表!D61</f>
        <v/>
      </c>
      <c r="AE12" s="363">
        <v>110</v>
      </c>
      <c r="AF12" s="104" t="str">
        <f>IFERROR(VLOOKUP(AH12,法术大全!A:Y,2,FALSE),"")</f>
        <v/>
      </c>
      <c r="AG12" s="105" t="str">
        <f>数据表!C111</f>
        <v/>
      </c>
      <c r="AH12" s="106"/>
      <c r="AI12" s="108" t="str">
        <f>数据表!D111</f>
        <v/>
      </c>
      <c r="AJ12" s="365">
        <v>160</v>
      </c>
      <c r="AK12" s="109" t="str">
        <f>IFERROR(VLOOKUP(AM12,法术大全!A:Y,2,FALSE),"")</f>
        <v/>
      </c>
      <c r="AL12" s="105" t="str">
        <f>数据表!C161</f>
        <v/>
      </c>
      <c r="AM12" s="106"/>
      <c r="AN12" s="108" t="str">
        <f>数据表!D161</f>
        <v/>
      </c>
      <c r="AO12" s="354"/>
      <c r="AQ12" s="757"/>
      <c r="AR12" s="758"/>
      <c r="AS12" s="758"/>
      <c r="AT12" s="758"/>
      <c r="AU12" s="758"/>
      <c r="AV12" s="758"/>
      <c r="AW12" s="758"/>
      <c r="AX12" s="759"/>
    </row>
    <row r="13" spans="2:50" ht="17.7" customHeight="1" x14ac:dyDescent="0.25">
      <c r="B13" s="785"/>
      <c r="C13" s="772" t="s">
        <v>2273</v>
      </c>
      <c r="D13" s="772"/>
      <c r="E13" s="786" t="str">
        <f ca="1">IF(C3="","",CONCATENATE(IF(VLOOKUP(C3,法术大全!A:Y,8,0)="V","语言（V）",""),IF(VLOOKUP(C3,法术大全!A:Y,9,0)="S","姿势（S）",""),IF(VLOOKUP(C3,法术大全!A:Y,10,0)="M","材料(M)","")))</f>
        <v/>
      </c>
      <c r="F13" s="772" t="s">
        <v>2274</v>
      </c>
      <c r="G13" s="772"/>
      <c r="H13" s="787" t="str">
        <f ca="1">IFERROR(IF(VLOOKUP(C3,法术大全!A:Y,10,FALSE)="M",VLOOKUP(C3,法术大全!A:Y,11,FALSE),"无"),"")</f>
        <v>无</v>
      </c>
      <c r="I13" s="787"/>
      <c r="J13" s="787"/>
      <c r="K13" s="787"/>
      <c r="L13" s="787"/>
      <c r="M13" s="787"/>
      <c r="N13" s="787"/>
      <c r="O13" s="787"/>
      <c r="P13" s="787"/>
      <c r="Q13" s="787"/>
      <c r="R13" s="787"/>
      <c r="S13" s="792"/>
      <c r="T13" s="361"/>
      <c r="U13" s="362">
        <v>11</v>
      </c>
      <c r="V13" s="104" t="str">
        <f>IFERROR(VLOOKUP(X13,法术大全!A:Y,2,FALSE),"")</f>
        <v/>
      </c>
      <c r="W13" s="105" t="str">
        <f>数据表!C12</f>
        <v/>
      </c>
      <c r="X13" s="106"/>
      <c r="Y13" s="108" t="str">
        <f>数据表!D12</f>
        <v/>
      </c>
      <c r="Z13" s="362">
        <v>61</v>
      </c>
      <c r="AA13" s="109" t="str">
        <f>IFERROR(VLOOKUP(AC13,法术大全!A:Y,2,FALSE),"")</f>
        <v/>
      </c>
      <c r="AB13" s="107" t="str">
        <f>数据表!C62</f>
        <v/>
      </c>
      <c r="AC13" s="106"/>
      <c r="AD13" s="108" t="str">
        <f>数据表!D62</f>
        <v/>
      </c>
      <c r="AE13" s="363">
        <v>111</v>
      </c>
      <c r="AF13" s="104" t="str">
        <f>IFERROR(VLOOKUP(AH13,法术大全!A:Y,2,FALSE),"")</f>
        <v/>
      </c>
      <c r="AG13" s="105" t="str">
        <f>数据表!C112</f>
        <v/>
      </c>
      <c r="AH13" s="106"/>
      <c r="AI13" s="108" t="str">
        <f>数据表!D112</f>
        <v/>
      </c>
      <c r="AJ13" s="365">
        <v>161</v>
      </c>
      <c r="AK13" s="109" t="str">
        <f>IFERROR(VLOOKUP(AM13,法术大全!A:Y,2,FALSE),"")</f>
        <v/>
      </c>
      <c r="AL13" s="105" t="str">
        <f>数据表!C162</f>
        <v/>
      </c>
      <c r="AM13" s="106"/>
      <c r="AN13" s="108" t="str">
        <f>数据表!D162</f>
        <v/>
      </c>
      <c r="AO13" s="354"/>
      <c r="AQ13" s="757"/>
      <c r="AR13" s="758"/>
      <c r="AS13" s="758"/>
      <c r="AT13" s="758"/>
      <c r="AU13" s="758"/>
      <c r="AV13" s="758"/>
      <c r="AW13" s="758"/>
      <c r="AX13" s="759"/>
    </row>
    <row r="14" spans="2:50" ht="17.7" customHeight="1" x14ac:dyDescent="0.25">
      <c r="B14" s="785"/>
      <c r="C14" s="772"/>
      <c r="D14" s="772"/>
      <c r="E14" s="786"/>
      <c r="F14" s="772"/>
      <c r="G14" s="772"/>
      <c r="H14" s="787"/>
      <c r="I14" s="787"/>
      <c r="J14" s="787"/>
      <c r="K14" s="787"/>
      <c r="L14" s="787"/>
      <c r="M14" s="787"/>
      <c r="N14" s="787"/>
      <c r="O14" s="787"/>
      <c r="P14" s="787"/>
      <c r="Q14" s="787"/>
      <c r="R14" s="787"/>
      <c r="S14" s="792"/>
      <c r="T14" s="361"/>
      <c r="U14" s="362">
        <v>12</v>
      </c>
      <c r="V14" s="104" t="str">
        <f>IFERROR(VLOOKUP(X14,法术大全!A:Y,2,FALSE),"")</f>
        <v/>
      </c>
      <c r="W14" s="105" t="str">
        <f>数据表!C13</f>
        <v/>
      </c>
      <c r="X14" s="106"/>
      <c r="Y14" s="108" t="str">
        <f>数据表!D13</f>
        <v/>
      </c>
      <c r="Z14" s="362">
        <v>62</v>
      </c>
      <c r="AA14" s="109" t="str">
        <f>IFERROR(VLOOKUP(AC14,法术大全!A:Y,2,FALSE),"")</f>
        <v/>
      </c>
      <c r="AB14" s="107" t="str">
        <f>数据表!C63</f>
        <v/>
      </c>
      <c r="AC14" s="106"/>
      <c r="AD14" s="108" t="str">
        <f>数据表!D63</f>
        <v/>
      </c>
      <c r="AE14" s="363">
        <v>112</v>
      </c>
      <c r="AF14" s="104" t="str">
        <f>IFERROR(VLOOKUP(AH14,法术大全!A:Y,2,FALSE),"")</f>
        <v/>
      </c>
      <c r="AG14" s="105" t="str">
        <f>数据表!C113</f>
        <v/>
      </c>
      <c r="AH14" s="106"/>
      <c r="AI14" s="108" t="str">
        <f>数据表!D113</f>
        <v/>
      </c>
      <c r="AJ14" s="365">
        <v>162</v>
      </c>
      <c r="AK14" s="109" t="str">
        <f>IFERROR(VLOOKUP(AM14,法术大全!A:Y,2,FALSE),"")</f>
        <v/>
      </c>
      <c r="AL14" s="105" t="str">
        <f>数据表!C163</f>
        <v/>
      </c>
      <c r="AM14" s="106"/>
      <c r="AN14" s="108" t="str">
        <f>数据表!D163</f>
        <v/>
      </c>
      <c r="AO14" s="354"/>
      <c r="AQ14" s="757"/>
      <c r="AR14" s="758"/>
      <c r="AS14" s="758"/>
      <c r="AT14" s="758"/>
      <c r="AU14" s="758"/>
      <c r="AV14" s="758"/>
      <c r="AW14" s="758"/>
      <c r="AX14" s="759"/>
    </row>
    <row r="15" spans="2:50" ht="17.7" customHeight="1" x14ac:dyDescent="0.25">
      <c r="B15" s="785"/>
      <c r="C15" s="772"/>
      <c r="D15" s="772"/>
      <c r="E15" s="786"/>
      <c r="F15" s="772"/>
      <c r="G15" s="772"/>
      <c r="H15" s="787"/>
      <c r="I15" s="787"/>
      <c r="J15" s="787"/>
      <c r="K15" s="787"/>
      <c r="L15" s="787"/>
      <c r="M15" s="787"/>
      <c r="N15" s="787"/>
      <c r="O15" s="787"/>
      <c r="P15" s="787"/>
      <c r="Q15" s="787"/>
      <c r="R15" s="787"/>
      <c r="S15" s="792"/>
      <c r="T15" s="361"/>
      <c r="U15" s="362">
        <v>13</v>
      </c>
      <c r="V15" s="104" t="str">
        <f>IFERROR(VLOOKUP(X15,法术大全!A:Y,2,FALSE),"")</f>
        <v/>
      </c>
      <c r="W15" s="105" t="str">
        <f>数据表!C14</f>
        <v/>
      </c>
      <c r="X15" s="106"/>
      <c r="Y15" s="108" t="str">
        <f>数据表!D14</f>
        <v/>
      </c>
      <c r="Z15" s="362">
        <v>63</v>
      </c>
      <c r="AA15" s="109" t="str">
        <f>IFERROR(VLOOKUP(AC15,法术大全!A:Y,2,FALSE),"")</f>
        <v/>
      </c>
      <c r="AB15" s="107" t="str">
        <f>数据表!C64</f>
        <v/>
      </c>
      <c r="AC15" s="106"/>
      <c r="AD15" s="108" t="str">
        <f>数据表!D64</f>
        <v/>
      </c>
      <c r="AE15" s="363">
        <v>113</v>
      </c>
      <c r="AF15" s="104" t="str">
        <f>IFERROR(VLOOKUP(AH15,法术大全!A:Y,2,FALSE),"")</f>
        <v/>
      </c>
      <c r="AG15" s="105" t="str">
        <f>数据表!C114</f>
        <v/>
      </c>
      <c r="AH15" s="106"/>
      <c r="AI15" s="108" t="str">
        <f>数据表!D114</f>
        <v/>
      </c>
      <c r="AJ15" s="365">
        <v>163</v>
      </c>
      <c r="AK15" s="109" t="str">
        <f>IFERROR(VLOOKUP(AM15,法术大全!A:Y,2,FALSE),"")</f>
        <v/>
      </c>
      <c r="AL15" s="105" t="str">
        <f>数据表!C164</f>
        <v/>
      </c>
      <c r="AM15" s="106"/>
      <c r="AN15" s="108" t="str">
        <f>数据表!D164</f>
        <v/>
      </c>
      <c r="AO15" s="354"/>
      <c r="AQ15" s="757"/>
      <c r="AR15" s="758"/>
      <c r="AS15" s="758"/>
      <c r="AT15" s="758"/>
      <c r="AU15" s="758"/>
      <c r="AV15" s="758"/>
      <c r="AW15" s="758"/>
      <c r="AX15" s="759"/>
    </row>
    <row r="16" spans="2:50" ht="17.7" customHeight="1" x14ac:dyDescent="0.25">
      <c r="B16" s="785"/>
      <c r="C16" s="772"/>
      <c r="D16" s="772"/>
      <c r="E16" s="786"/>
      <c r="F16" s="772"/>
      <c r="G16" s="772"/>
      <c r="H16" s="787"/>
      <c r="I16" s="787"/>
      <c r="J16" s="787"/>
      <c r="K16" s="787"/>
      <c r="L16" s="787"/>
      <c r="M16" s="787"/>
      <c r="N16" s="787"/>
      <c r="O16" s="787"/>
      <c r="P16" s="787"/>
      <c r="Q16" s="787"/>
      <c r="R16" s="787"/>
      <c r="S16" s="792"/>
      <c r="T16" s="361"/>
      <c r="U16" s="362">
        <v>14</v>
      </c>
      <c r="V16" s="104" t="str">
        <f>IFERROR(VLOOKUP(X16,法术大全!A:Y,2,FALSE),"")</f>
        <v/>
      </c>
      <c r="W16" s="105" t="str">
        <f>数据表!C15</f>
        <v/>
      </c>
      <c r="X16" s="106"/>
      <c r="Y16" s="108" t="str">
        <f>数据表!D15</f>
        <v/>
      </c>
      <c r="Z16" s="362">
        <v>64</v>
      </c>
      <c r="AA16" s="109" t="str">
        <f>IFERROR(VLOOKUP(AC16,法术大全!A:Y,2,FALSE),"")</f>
        <v/>
      </c>
      <c r="AB16" s="107" t="str">
        <f>数据表!C65</f>
        <v/>
      </c>
      <c r="AC16" s="106"/>
      <c r="AD16" s="108" t="str">
        <f>数据表!D65</f>
        <v/>
      </c>
      <c r="AE16" s="363">
        <v>114</v>
      </c>
      <c r="AF16" s="104" t="str">
        <f>IFERROR(VLOOKUP(AH16,法术大全!A:Y,2,FALSE),"")</f>
        <v/>
      </c>
      <c r="AG16" s="105" t="str">
        <f>数据表!C115</f>
        <v/>
      </c>
      <c r="AH16" s="106"/>
      <c r="AI16" s="108" t="str">
        <f>数据表!D115</f>
        <v/>
      </c>
      <c r="AJ16" s="365">
        <v>164</v>
      </c>
      <c r="AK16" s="109" t="str">
        <f>IFERROR(VLOOKUP(AM16,法术大全!A:Y,2,FALSE),"")</f>
        <v/>
      </c>
      <c r="AL16" s="105" t="str">
        <f>数据表!C165</f>
        <v/>
      </c>
      <c r="AM16" s="106"/>
      <c r="AN16" s="108" t="str">
        <f>数据表!D165</f>
        <v/>
      </c>
      <c r="AO16" s="354"/>
      <c r="AQ16" s="757"/>
      <c r="AR16" s="758"/>
      <c r="AS16" s="758"/>
      <c r="AT16" s="758"/>
      <c r="AU16" s="758"/>
      <c r="AV16" s="758"/>
      <c r="AW16" s="758"/>
      <c r="AX16" s="759"/>
    </row>
    <row r="17" spans="2:50" ht="17.7" customHeight="1" x14ac:dyDescent="0.25">
      <c r="B17" s="785"/>
      <c r="C17" s="772"/>
      <c r="D17" s="772"/>
      <c r="E17" s="786"/>
      <c r="F17" s="772"/>
      <c r="G17" s="772"/>
      <c r="H17" s="787"/>
      <c r="I17" s="787"/>
      <c r="J17" s="787"/>
      <c r="K17" s="787"/>
      <c r="L17" s="787"/>
      <c r="M17" s="787"/>
      <c r="N17" s="787"/>
      <c r="O17" s="787"/>
      <c r="P17" s="787"/>
      <c r="Q17" s="787"/>
      <c r="R17" s="787"/>
      <c r="S17" s="792"/>
      <c r="T17" s="361"/>
      <c r="U17" s="362">
        <v>15</v>
      </c>
      <c r="V17" s="104" t="str">
        <f>IFERROR(VLOOKUP(X17,法术大全!A:Y,2,FALSE),"")</f>
        <v/>
      </c>
      <c r="W17" s="105" t="str">
        <f>数据表!C16</f>
        <v/>
      </c>
      <c r="X17" s="106"/>
      <c r="Y17" s="108" t="str">
        <f>数据表!D16</f>
        <v/>
      </c>
      <c r="Z17" s="362">
        <v>65</v>
      </c>
      <c r="AA17" s="109" t="str">
        <f>IFERROR(VLOOKUP(AC17,法术大全!A:Y,2,FALSE),"")</f>
        <v/>
      </c>
      <c r="AB17" s="107" t="str">
        <f>数据表!C66</f>
        <v/>
      </c>
      <c r="AC17" s="106"/>
      <c r="AD17" s="108" t="str">
        <f>数据表!D66</f>
        <v/>
      </c>
      <c r="AE17" s="363">
        <v>115</v>
      </c>
      <c r="AF17" s="104" t="str">
        <f>IFERROR(VLOOKUP(AH17,法术大全!A:Y,2,FALSE),"")</f>
        <v/>
      </c>
      <c r="AG17" s="105" t="str">
        <f>数据表!C116</f>
        <v/>
      </c>
      <c r="AH17" s="106"/>
      <c r="AI17" s="108" t="str">
        <f>数据表!D116</f>
        <v/>
      </c>
      <c r="AJ17" s="365">
        <v>165</v>
      </c>
      <c r="AK17" s="109" t="str">
        <f>IFERROR(VLOOKUP(AM17,法术大全!A:Y,2,FALSE),"")</f>
        <v/>
      </c>
      <c r="AL17" s="105" t="str">
        <f>数据表!C166</f>
        <v/>
      </c>
      <c r="AM17" s="106"/>
      <c r="AN17" s="108" t="str">
        <f>数据表!D166</f>
        <v/>
      </c>
      <c r="AO17" s="354"/>
      <c r="AQ17" s="757"/>
      <c r="AR17" s="758"/>
      <c r="AS17" s="758"/>
      <c r="AT17" s="758"/>
      <c r="AU17" s="758"/>
      <c r="AV17" s="758"/>
      <c r="AW17" s="758"/>
      <c r="AX17" s="759"/>
    </row>
    <row r="18" spans="2:50" ht="17.7" customHeight="1" x14ac:dyDescent="0.25">
      <c r="B18" s="785"/>
      <c r="C18" s="772"/>
      <c r="D18" s="772"/>
      <c r="E18" s="786"/>
      <c r="F18" s="772"/>
      <c r="G18" s="772"/>
      <c r="H18" s="787"/>
      <c r="I18" s="787"/>
      <c r="J18" s="787"/>
      <c r="K18" s="787"/>
      <c r="L18" s="787"/>
      <c r="M18" s="787"/>
      <c r="N18" s="787"/>
      <c r="O18" s="787"/>
      <c r="P18" s="787"/>
      <c r="Q18" s="787"/>
      <c r="R18" s="787"/>
      <c r="S18" s="792"/>
      <c r="T18" s="361"/>
      <c r="U18" s="362">
        <v>16</v>
      </c>
      <c r="V18" s="104" t="str">
        <f>IFERROR(VLOOKUP(X18,法术大全!A:Y,2,FALSE),"")</f>
        <v/>
      </c>
      <c r="W18" s="105" t="str">
        <f>数据表!C17</f>
        <v/>
      </c>
      <c r="X18" s="106"/>
      <c r="Y18" s="108" t="str">
        <f>数据表!D17</f>
        <v/>
      </c>
      <c r="Z18" s="362">
        <v>66</v>
      </c>
      <c r="AA18" s="109" t="str">
        <f>IFERROR(VLOOKUP(AC18,法术大全!A:Y,2,FALSE),"")</f>
        <v/>
      </c>
      <c r="AB18" s="107" t="str">
        <f>数据表!C67</f>
        <v/>
      </c>
      <c r="AC18" s="106"/>
      <c r="AD18" s="108" t="str">
        <f>数据表!D67</f>
        <v/>
      </c>
      <c r="AE18" s="363">
        <v>116</v>
      </c>
      <c r="AF18" s="104" t="str">
        <f>IFERROR(VLOOKUP(AH18,法术大全!A:Y,2,FALSE),"")</f>
        <v/>
      </c>
      <c r="AG18" s="105" t="str">
        <f>数据表!C117</f>
        <v/>
      </c>
      <c r="AH18" s="106"/>
      <c r="AI18" s="108" t="str">
        <f>数据表!D117</f>
        <v/>
      </c>
      <c r="AJ18" s="365">
        <v>166</v>
      </c>
      <c r="AK18" s="109" t="str">
        <f>IFERROR(VLOOKUP(AM18,法术大全!A:Y,2,FALSE),"")</f>
        <v/>
      </c>
      <c r="AL18" s="105" t="str">
        <f>数据表!C167</f>
        <v/>
      </c>
      <c r="AM18" s="106"/>
      <c r="AN18" s="108" t="str">
        <f>数据表!D167</f>
        <v/>
      </c>
      <c r="AO18" s="354"/>
      <c r="AQ18" s="757"/>
      <c r="AR18" s="758"/>
      <c r="AS18" s="758"/>
      <c r="AT18" s="758"/>
      <c r="AU18" s="758"/>
      <c r="AV18" s="758"/>
      <c r="AW18" s="758"/>
      <c r="AX18" s="759"/>
    </row>
    <row r="19" spans="2:50" ht="17.7" customHeight="1" x14ac:dyDescent="0.25">
      <c r="B19" s="785"/>
      <c r="C19" s="772" t="s">
        <v>2275</v>
      </c>
      <c r="D19" s="772"/>
      <c r="E19" s="780" t="str">
        <f ca="1">IFERROR(VLOOKUP(C3,法术大全!A:Y,12,FALSE),"")</f>
        <v/>
      </c>
      <c r="F19" s="780"/>
      <c r="G19" s="780"/>
      <c r="H19" s="780"/>
      <c r="I19" s="780"/>
      <c r="J19" s="780"/>
      <c r="K19" s="780"/>
      <c r="L19" s="780"/>
      <c r="M19" s="780"/>
      <c r="N19" s="780"/>
      <c r="O19" s="780"/>
      <c r="P19" s="780"/>
      <c r="Q19" s="780"/>
      <c r="R19" s="780"/>
      <c r="S19" s="792"/>
      <c r="T19" s="361"/>
      <c r="U19" s="362">
        <v>17</v>
      </c>
      <c r="V19" s="104" t="str">
        <f>IFERROR(VLOOKUP(X19,法术大全!A:Y,2,FALSE),"")</f>
        <v/>
      </c>
      <c r="W19" s="105" t="str">
        <f>数据表!C18</f>
        <v/>
      </c>
      <c r="X19" s="106"/>
      <c r="Y19" s="108" t="str">
        <f>数据表!D18</f>
        <v/>
      </c>
      <c r="Z19" s="362">
        <v>67</v>
      </c>
      <c r="AA19" s="109" t="str">
        <f>IFERROR(VLOOKUP(AC19,法术大全!A:Y,2,FALSE),"")</f>
        <v/>
      </c>
      <c r="AB19" s="107" t="str">
        <f>数据表!C68</f>
        <v/>
      </c>
      <c r="AC19" s="106"/>
      <c r="AD19" s="108" t="str">
        <f>数据表!D68</f>
        <v/>
      </c>
      <c r="AE19" s="363">
        <v>117</v>
      </c>
      <c r="AF19" s="104" t="str">
        <f>IFERROR(VLOOKUP(AH19,法术大全!A:Y,2,FALSE),"")</f>
        <v/>
      </c>
      <c r="AG19" s="105" t="str">
        <f>数据表!C118</f>
        <v/>
      </c>
      <c r="AH19" s="106"/>
      <c r="AI19" s="108" t="str">
        <f>数据表!D118</f>
        <v/>
      </c>
      <c r="AJ19" s="365">
        <v>167</v>
      </c>
      <c r="AK19" s="109" t="str">
        <f>IFERROR(VLOOKUP(AM19,法术大全!A:Y,2,FALSE),"")</f>
        <v/>
      </c>
      <c r="AL19" s="105" t="str">
        <f>数据表!C168</f>
        <v/>
      </c>
      <c r="AM19" s="106"/>
      <c r="AN19" s="108" t="str">
        <f>数据表!D168</f>
        <v/>
      </c>
      <c r="AO19" s="354"/>
      <c r="AQ19" s="757"/>
      <c r="AR19" s="758"/>
      <c r="AS19" s="758"/>
      <c r="AT19" s="758"/>
      <c r="AU19" s="758"/>
      <c r="AV19" s="758"/>
      <c r="AW19" s="758"/>
      <c r="AX19" s="759"/>
    </row>
    <row r="20" spans="2:50" ht="17.7" customHeight="1" x14ac:dyDescent="0.25">
      <c r="B20" s="785"/>
      <c r="C20" s="772"/>
      <c r="D20" s="772"/>
      <c r="E20" s="780"/>
      <c r="F20" s="780"/>
      <c r="G20" s="780"/>
      <c r="H20" s="780"/>
      <c r="I20" s="780"/>
      <c r="J20" s="780"/>
      <c r="K20" s="780"/>
      <c r="L20" s="780"/>
      <c r="M20" s="780"/>
      <c r="N20" s="780"/>
      <c r="O20" s="780"/>
      <c r="P20" s="780"/>
      <c r="Q20" s="780"/>
      <c r="R20" s="780"/>
      <c r="S20" s="792"/>
      <c r="T20" s="361"/>
      <c r="U20" s="362">
        <v>18</v>
      </c>
      <c r="V20" s="104" t="str">
        <f>IFERROR(VLOOKUP(X20,法术大全!A:Y,2,FALSE),"")</f>
        <v/>
      </c>
      <c r="W20" s="105" t="str">
        <f>数据表!C19</f>
        <v/>
      </c>
      <c r="X20" s="106"/>
      <c r="Y20" s="108" t="str">
        <f>数据表!D19</f>
        <v/>
      </c>
      <c r="Z20" s="362">
        <v>68</v>
      </c>
      <c r="AA20" s="109" t="str">
        <f>IFERROR(VLOOKUP(AC20,法术大全!A:Y,2,FALSE),"")</f>
        <v/>
      </c>
      <c r="AB20" s="107" t="str">
        <f>数据表!C69</f>
        <v/>
      </c>
      <c r="AC20" s="106"/>
      <c r="AD20" s="108" t="str">
        <f>数据表!D69</f>
        <v/>
      </c>
      <c r="AE20" s="363">
        <v>118</v>
      </c>
      <c r="AF20" s="104" t="str">
        <f>IFERROR(VLOOKUP(AH20,法术大全!A:Y,2,FALSE),"")</f>
        <v/>
      </c>
      <c r="AG20" s="105" t="str">
        <f>数据表!C119</f>
        <v/>
      </c>
      <c r="AH20" s="106"/>
      <c r="AI20" s="108" t="str">
        <f>数据表!D119</f>
        <v/>
      </c>
      <c r="AJ20" s="365">
        <v>168</v>
      </c>
      <c r="AK20" s="109" t="str">
        <f>IFERROR(VLOOKUP(AM20,法术大全!A:Y,2,FALSE),"")</f>
        <v/>
      </c>
      <c r="AL20" s="105" t="str">
        <f>数据表!C169</f>
        <v/>
      </c>
      <c r="AM20" s="106"/>
      <c r="AN20" s="108" t="str">
        <f>数据表!D169</f>
        <v/>
      </c>
      <c r="AO20" s="354"/>
      <c r="AQ20" s="757"/>
      <c r="AR20" s="758"/>
      <c r="AS20" s="758"/>
      <c r="AT20" s="758"/>
      <c r="AU20" s="758"/>
      <c r="AV20" s="758"/>
      <c r="AW20" s="758"/>
      <c r="AX20" s="759"/>
    </row>
    <row r="21" spans="2:50" ht="17.7" customHeight="1" x14ac:dyDescent="0.25">
      <c r="B21" s="785"/>
      <c r="C21" s="781"/>
      <c r="D21" s="781"/>
      <c r="E21" s="781"/>
      <c r="F21" s="781"/>
      <c r="G21" s="781"/>
      <c r="H21" s="781"/>
      <c r="I21" s="781"/>
      <c r="J21" s="781"/>
      <c r="K21" s="781"/>
      <c r="L21" s="781"/>
      <c r="M21" s="781"/>
      <c r="N21" s="781"/>
      <c r="O21" s="781"/>
      <c r="P21" s="781"/>
      <c r="Q21" s="781"/>
      <c r="R21" s="781"/>
      <c r="S21" s="792"/>
      <c r="T21" s="361"/>
      <c r="U21" s="362">
        <v>19</v>
      </c>
      <c r="V21" s="104" t="str">
        <f>IFERROR(VLOOKUP(X21,法术大全!A:Y,2,FALSE),"")</f>
        <v/>
      </c>
      <c r="W21" s="105" t="str">
        <f>数据表!C20</f>
        <v/>
      </c>
      <c r="X21" s="106"/>
      <c r="Y21" s="108" t="str">
        <f>数据表!D20</f>
        <v/>
      </c>
      <c r="Z21" s="362">
        <v>69</v>
      </c>
      <c r="AA21" s="109" t="str">
        <f>IFERROR(VLOOKUP(AC21,法术大全!A:Y,2,FALSE),"")</f>
        <v/>
      </c>
      <c r="AB21" s="107" t="str">
        <f>数据表!C70</f>
        <v/>
      </c>
      <c r="AC21" s="106"/>
      <c r="AD21" s="108" t="str">
        <f>数据表!D70</f>
        <v/>
      </c>
      <c r="AE21" s="363">
        <v>119</v>
      </c>
      <c r="AF21" s="104" t="str">
        <f>IFERROR(VLOOKUP(AH21,法术大全!A:Y,2,FALSE),"")</f>
        <v/>
      </c>
      <c r="AG21" s="105" t="str">
        <f>数据表!C120</f>
        <v/>
      </c>
      <c r="AH21" s="106"/>
      <c r="AI21" s="108" t="str">
        <f>数据表!D120</f>
        <v/>
      </c>
      <c r="AJ21" s="365">
        <v>169</v>
      </c>
      <c r="AK21" s="109" t="str">
        <f>IFERROR(VLOOKUP(AM21,法术大全!A:Y,2,FALSE),"")</f>
        <v/>
      </c>
      <c r="AL21" s="105" t="str">
        <f>数据表!C170</f>
        <v/>
      </c>
      <c r="AM21" s="106"/>
      <c r="AN21" s="108" t="str">
        <f>数据表!D170</f>
        <v/>
      </c>
      <c r="AO21" s="354"/>
      <c r="AQ21" s="757"/>
      <c r="AR21" s="758"/>
      <c r="AS21" s="758"/>
      <c r="AT21" s="758"/>
      <c r="AU21" s="758"/>
      <c r="AV21" s="758"/>
      <c r="AW21" s="758"/>
      <c r="AX21" s="759"/>
    </row>
    <row r="22" spans="2:50" ht="17.7" customHeight="1" x14ac:dyDescent="0.25">
      <c r="B22" s="785"/>
      <c r="C22" s="782" t="s">
        <v>2276</v>
      </c>
      <c r="D22" s="783"/>
      <c r="E22" s="783"/>
      <c r="F22" s="366"/>
      <c r="G22" s="781"/>
      <c r="H22" s="781"/>
      <c r="I22" s="781"/>
      <c r="J22" s="781"/>
      <c r="K22" s="781"/>
      <c r="L22" s="781"/>
      <c r="M22" s="781"/>
      <c r="N22" s="781"/>
      <c r="O22" s="781"/>
      <c r="P22" s="781"/>
      <c r="Q22" s="781"/>
      <c r="R22" s="781"/>
      <c r="S22" s="792"/>
      <c r="T22" s="361"/>
      <c r="U22" s="362">
        <v>20</v>
      </c>
      <c r="V22" s="104" t="str">
        <f>IFERROR(VLOOKUP(X22,法术大全!A:Y,2,FALSE),"")</f>
        <v/>
      </c>
      <c r="W22" s="105" t="str">
        <f>数据表!C21</f>
        <v/>
      </c>
      <c r="X22" s="106"/>
      <c r="Y22" s="108" t="str">
        <f>数据表!D21</f>
        <v/>
      </c>
      <c r="Z22" s="362">
        <v>70</v>
      </c>
      <c r="AA22" s="109" t="str">
        <f>IFERROR(VLOOKUP(AC22,法术大全!A:Y,2,FALSE),"")</f>
        <v/>
      </c>
      <c r="AB22" s="107" t="str">
        <f>数据表!C71</f>
        <v/>
      </c>
      <c r="AC22" s="106"/>
      <c r="AD22" s="108" t="str">
        <f>数据表!D71</f>
        <v/>
      </c>
      <c r="AE22" s="363">
        <v>120</v>
      </c>
      <c r="AF22" s="104" t="str">
        <f>IFERROR(VLOOKUP(AH22,法术大全!A:Y,2,FALSE),"")</f>
        <v/>
      </c>
      <c r="AG22" s="105" t="str">
        <f>数据表!C121</f>
        <v/>
      </c>
      <c r="AH22" s="106"/>
      <c r="AI22" s="108" t="str">
        <f>数据表!D121</f>
        <v/>
      </c>
      <c r="AJ22" s="365">
        <v>170</v>
      </c>
      <c r="AK22" s="109" t="str">
        <f>IFERROR(VLOOKUP(AM22,法术大全!A:Y,2,FALSE),"")</f>
        <v/>
      </c>
      <c r="AL22" s="105" t="str">
        <f>数据表!C171</f>
        <v/>
      </c>
      <c r="AM22" s="106"/>
      <c r="AN22" s="108" t="str">
        <f>数据表!D171</f>
        <v/>
      </c>
      <c r="AO22" s="354"/>
      <c r="AQ22" s="757"/>
      <c r="AR22" s="758"/>
      <c r="AS22" s="758"/>
      <c r="AT22" s="758"/>
      <c r="AU22" s="758"/>
      <c r="AV22" s="758"/>
      <c r="AW22" s="758"/>
      <c r="AX22" s="759"/>
    </row>
    <row r="23" spans="2:50" ht="17.7" customHeight="1" x14ac:dyDescent="0.25">
      <c r="B23" s="785"/>
      <c r="C23" s="754" t="str">
        <f ca="1">IFERROR(VLOOKUP(C3,法术大全!A:Y,13,FALSE),"")</f>
        <v/>
      </c>
      <c r="D23" s="755"/>
      <c r="E23" s="755"/>
      <c r="F23" s="755"/>
      <c r="G23" s="755"/>
      <c r="H23" s="755"/>
      <c r="I23" s="755"/>
      <c r="J23" s="755"/>
      <c r="K23" s="755"/>
      <c r="L23" s="755"/>
      <c r="M23" s="755"/>
      <c r="N23" s="755"/>
      <c r="O23" s="755"/>
      <c r="P23" s="755"/>
      <c r="Q23" s="755"/>
      <c r="R23" s="756"/>
      <c r="S23" s="792"/>
      <c r="T23" s="361"/>
      <c r="U23" s="362">
        <v>21</v>
      </c>
      <c r="V23" s="104" t="str">
        <f>IFERROR(VLOOKUP(X23,法术大全!A:Y,2,FALSE),"")</f>
        <v/>
      </c>
      <c r="W23" s="105" t="str">
        <f>数据表!C22</f>
        <v/>
      </c>
      <c r="X23" s="106"/>
      <c r="Y23" s="108" t="str">
        <f>数据表!D22</f>
        <v/>
      </c>
      <c r="Z23" s="362">
        <v>71</v>
      </c>
      <c r="AA23" s="109" t="str">
        <f>IFERROR(VLOOKUP(AC23,法术大全!A:Y,2,FALSE),"")</f>
        <v/>
      </c>
      <c r="AB23" s="107" t="str">
        <f>数据表!C72</f>
        <v/>
      </c>
      <c r="AC23" s="106"/>
      <c r="AD23" s="108" t="str">
        <f>数据表!D72</f>
        <v/>
      </c>
      <c r="AE23" s="363">
        <v>121</v>
      </c>
      <c r="AF23" s="104" t="str">
        <f>IFERROR(VLOOKUP(AH23,法术大全!A:Y,2,FALSE),"")</f>
        <v/>
      </c>
      <c r="AG23" s="105" t="str">
        <f>数据表!C122</f>
        <v/>
      </c>
      <c r="AH23" s="106"/>
      <c r="AI23" s="108" t="str">
        <f>数据表!D122</f>
        <v/>
      </c>
      <c r="AJ23" s="365">
        <v>171</v>
      </c>
      <c r="AK23" s="109" t="str">
        <f>IFERROR(VLOOKUP(AM23,法术大全!A:Y,2,FALSE),"")</f>
        <v/>
      </c>
      <c r="AL23" s="105" t="str">
        <f>数据表!C172</f>
        <v/>
      </c>
      <c r="AM23" s="106"/>
      <c r="AN23" s="108" t="str">
        <f>数据表!D172</f>
        <v/>
      </c>
      <c r="AO23" s="354"/>
      <c r="AQ23" s="757"/>
      <c r="AR23" s="758"/>
      <c r="AS23" s="758"/>
      <c r="AT23" s="758"/>
      <c r="AU23" s="758"/>
      <c r="AV23" s="758"/>
      <c r="AW23" s="758"/>
      <c r="AX23" s="759"/>
    </row>
    <row r="24" spans="2:50" ht="17.7" customHeight="1" x14ac:dyDescent="0.25">
      <c r="B24" s="785"/>
      <c r="C24" s="757"/>
      <c r="D24" s="758"/>
      <c r="E24" s="758"/>
      <c r="F24" s="758"/>
      <c r="G24" s="758"/>
      <c r="H24" s="758"/>
      <c r="I24" s="758"/>
      <c r="J24" s="758"/>
      <c r="K24" s="758"/>
      <c r="L24" s="758"/>
      <c r="M24" s="758"/>
      <c r="N24" s="758"/>
      <c r="O24" s="758"/>
      <c r="P24" s="758"/>
      <c r="Q24" s="758"/>
      <c r="R24" s="759"/>
      <c r="S24" s="792"/>
      <c r="T24" s="361"/>
      <c r="U24" s="362">
        <v>22</v>
      </c>
      <c r="V24" s="104" t="str">
        <f>IFERROR(VLOOKUP(X24,法术大全!A:Y,2,FALSE),"")</f>
        <v/>
      </c>
      <c r="W24" s="105" t="str">
        <f>数据表!C23</f>
        <v/>
      </c>
      <c r="X24" s="106"/>
      <c r="Y24" s="108" t="str">
        <f>数据表!D23</f>
        <v/>
      </c>
      <c r="Z24" s="362">
        <v>72</v>
      </c>
      <c r="AA24" s="109" t="str">
        <f>IFERROR(VLOOKUP(AC24,法术大全!A:Y,2,FALSE),"")</f>
        <v/>
      </c>
      <c r="AB24" s="107" t="str">
        <f>数据表!C73</f>
        <v/>
      </c>
      <c r="AC24" s="106"/>
      <c r="AD24" s="108" t="str">
        <f>数据表!D73</f>
        <v/>
      </c>
      <c r="AE24" s="363">
        <v>122</v>
      </c>
      <c r="AF24" s="104" t="str">
        <f>IFERROR(VLOOKUP(AH24,法术大全!A:Y,2,FALSE),"")</f>
        <v/>
      </c>
      <c r="AG24" s="105" t="str">
        <f>数据表!C123</f>
        <v/>
      </c>
      <c r="AH24" s="106"/>
      <c r="AI24" s="108" t="str">
        <f>数据表!D123</f>
        <v/>
      </c>
      <c r="AJ24" s="365">
        <v>172</v>
      </c>
      <c r="AK24" s="109" t="str">
        <f>IFERROR(VLOOKUP(AM24,法术大全!A:Y,2,FALSE),"")</f>
        <v/>
      </c>
      <c r="AL24" s="105" t="str">
        <f>数据表!C173</f>
        <v/>
      </c>
      <c r="AM24" s="106"/>
      <c r="AN24" s="108" t="str">
        <f>数据表!D173</f>
        <v/>
      </c>
      <c r="AO24" s="354"/>
      <c r="AQ24" s="757"/>
      <c r="AR24" s="758"/>
      <c r="AS24" s="758"/>
      <c r="AT24" s="758"/>
      <c r="AU24" s="758"/>
      <c r="AV24" s="758"/>
      <c r="AW24" s="758"/>
      <c r="AX24" s="759"/>
    </row>
    <row r="25" spans="2:50" ht="17.7" customHeight="1" x14ac:dyDescent="0.25">
      <c r="B25" s="785"/>
      <c r="C25" s="757"/>
      <c r="D25" s="758"/>
      <c r="E25" s="758"/>
      <c r="F25" s="758"/>
      <c r="G25" s="758"/>
      <c r="H25" s="758"/>
      <c r="I25" s="758"/>
      <c r="J25" s="758"/>
      <c r="K25" s="758"/>
      <c r="L25" s="758"/>
      <c r="M25" s="758"/>
      <c r="N25" s="758"/>
      <c r="O25" s="758"/>
      <c r="P25" s="758"/>
      <c r="Q25" s="758"/>
      <c r="R25" s="759"/>
      <c r="S25" s="792"/>
      <c r="T25" s="361"/>
      <c r="U25" s="362">
        <v>23</v>
      </c>
      <c r="V25" s="104" t="str">
        <f>IFERROR(VLOOKUP(X25,法术大全!A:Y,2,FALSE),"")</f>
        <v/>
      </c>
      <c r="W25" s="105" t="str">
        <f>数据表!C24</f>
        <v/>
      </c>
      <c r="X25" s="106"/>
      <c r="Y25" s="108" t="str">
        <f>数据表!D24</f>
        <v/>
      </c>
      <c r="Z25" s="362">
        <v>73</v>
      </c>
      <c r="AA25" s="109" t="str">
        <f>IFERROR(VLOOKUP(AC25,法术大全!A:Y,2,FALSE),"")</f>
        <v/>
      </c>
      <c r="AB25" s="107" t="str">
        <f>数据表!C74</f>
        <v/>
      </c>
      <c r="AC25" s="106"/>
      <c r="AD25" s="108" t="str">
        <f>数据表!D74</f>
        <v/>
      </c>
      <c r="AE25" s="363">
        <v>123</v>
      </c>
      <c r="AF25" s="104" t="str">
        <f>IFERROR(VLOOKUP(AH25,法术大全!A:Y,2,FALSE),"")</f>
        <v/>
      </c>
      <c r="AG25" s="105" t="str">
        <f>数据表!C124</f>
        <v/>
      </c>
      <c r="AH25" s="106"/>
      <c r="AI25" s="108" t="str">
        <f>数据表!D124</f>
        <v/>
      </c>
      <c r="AJ25" s="365">
        <v>173</v>
      </c>
      <c r="AK25" s="109" t="str">
        <f>IFERROR(VLOOKUP(AM25,法术大全!A:Y,2,FALSE),"")</f>
        <v/>
      </c>
      <c r="AL25" s="105" t="str">
        <f>数据表!C174</f>
        <v/>
      </c>
      <c r="AM25" s="106"/>
      <c r="AN25" s="108" t="str">
        <f>数据表!D174</f>
        <v/>
      </c>
      <c r="AO25" s="354"/>
      <c r="AQ25" s="757"/>
      <c r="AR25" s="758"/>
      <c r="AS25" s="758"/>
      <c r="AT25" s="758"/>
      <c r="AU25" s="758"/>
      <c r="AV25" s="758"/>
      <c r="AW25" s="758"/>
      <c r="AX25" s="759"/>
    </row>
    <row r="26" spans="2:50" ht="17.7" customHeight="1" x14ac:dyDescent="0.25">
      <c r="B26" s="785"/>
      <c r="C26" s="757"/>
      <c r="D26" s="758"/>
      <c r="E26" s="758"/>
      <c r="F26" s="758"/>
      <c r="G26" s="758"/>
      <c r="H26" s="758"/>
      <c r="I26" s="758"/>
      <c r="J26" s="758"/>
      <c r="K26" s="758"/>
      <c r="L26" s="758"/>
      <c r="M26" s="758"/>
      <c r="N26" s="758"/>
      <c r="O26" s="758"/>
      <c r="P26" s="758"/>
      <c r="Q26" s="758"/>
      <c r="R26" s="759"/>
      <c r="S26" s="792"/>
      <c r="T26" s="361"/>
      <c r="U26" s="362">
        <v>24</v>
      </c>
      <c r="V26" s="104" t="str">
        <f>IFERROR(VLOOKUP(X26,法术大全!A:Y,2,FALSE),"")</f>
        <v/>
      </c>
      <c r="W26" s="105" t="str">
        <f>数据表!C25</f>
        <v/>
      </c>
      <c r="X26" s="106"/>
      <c r="Y26" s="108" t="str">
        <f>数据表!D25</f>
        <v/>
      </c>
      <c r="Z26" s="362">
        <v>74</v>
      </c>
      <c r="AA26" s="109" t="str">
        <f>IFERROR(VLOOKUP(AC26,法术大全!A:Y,2,FALSE),"")</f>
        <v/>
      </c>
      <c r="AB26" s="107" t="str">
        <f>数据表!C75</f>
        <v/>
      </c>
      <c r="AC26" s="106"/>
      <c r="AD26" s="108" t="str">
        <f>数据表!D75</f>
        <v/>
      </c>
      <c r="AE26" s="363">
        <v>124</v>
      </c>
      <c r="AF26" s="104" t="str">
        <f>IFERROR(VLOOKUP(AH26,法术大全!A:Y,2,FALSE),"")</f>
        <v/>
      </c>
      <c r="AG26" s="105" t="str">
        <f>数据表!C125</f>
        <v/>
      </c>
      <c r="AH26" s="106"/>
      <c r="AI26" s="108" t="str">
        <f>数据表!D125</f>
        <v/>
      </c>
      <c r="AJ26" s="365">
        <v>174</v>
      </c>
      <c r="AK26" s="109" t="str">
        <f>IFERROR(VLOOKUP(AM26,法术大全!A:Y,2,FALSE),"")</f>
        <v/>
      </c>
      <c r="AL26" s="105" t="str">
        <f>数据表!C175</f>
        <v/>
      </c>
      <c r="AM26" s="106"/>
      <c r="AN26" s="108" t="str">
        <f>数据表!D175</f>
        <v/>
      </c>
      <c r="AO26" s="354"/>
      <c r="AQ26" s="757"/>
      <c r="AR26" s="758"/>
      <c r="AS26" s="758"/>
      <c r="AT26" s="758"/>
      <c r="AU26" s="758"/>
      <c r="AV26" s="758"/>
      <c r="AW26" s="758"/>
      <c r="AX26" s="759"/>
    </row>
    <row r="27" spans="2:50" ht="17.7" customHeight="1" x14ac:dyDescent="0.25">
      <c r="B27" s="785"/>
      <c r="C27" s="757"/>
      <c r="D27" s="758"/>
      <c r="E27" s="758"/>
      <c r="F27" s="758"/>
      <c r="G27" s="758"/>
      <c r="H27" s="758"/>
      <c r="I27" s="758"/>
      <c r="J27" s="758"/>
      <c r="K27" s="758"/>
      <c r="L27" s="758"/>
      <c r="M27" s="758"/>
      <c r="N27" s="758"/>
      <c r="O27" s="758"/>
      <c r="P27" s="758"/>
      <c r="Q27" s="758"/>
      <c r="R27" s="759"/>
      <c r="S27" s="792"/>
      <c r="T27" s="361"/>
      <c r="U27" s="362">
        <v>25</v>
      </c>
      <c r="V27" s="104" t="str">
        <f>IFERROR(VLOOKUP(X27,法术大全!A:Y,2,FALSE),"")</f>
        <v/>
      </c>
      <c r="W27" s="105" t="str">
        <f>数据表!C26</f>
        <v/>
      </c>
      <c r="X27" s="106"/>
      <c r="Y27" s="108" t="str">
        <f>数据表!D26</f>
        <v/>
      </c>
      <c r="Z27" s="362">
        <v>75</v>
      </c>
      <c r="AA27" s="109" t="str">
        <f>IFERROR(VLOOKUP(AC27,法术大全!A:Y,2,FALSE),"")</f>
        <v/>
      </c>
      <c r="AB27" s="107" t="str">
        <f>数据表!C76</f>
        <v/>
      </c>
      <c r="AC27" s="106"/>
      <c r="AD27" s="108" t="str">
        <f>数据表!D76</f>
        <v/>
      </c>
      <c r="AE27" s="363">
        <v>125</v>
      </c>
      <c r="AF27" s="104" t="str">
        <f>IFERROR(VLOOKUP(AH27,法术大全!A:Y,2,FALSE),"")</f>
        <v/>
      </c>
      <c r="AG27" s="105" t="str">
        <f>数据表!C126</f>
        <v/>
      </c>
      <c r="AH27" s="106"/>
      <c r="AI27" s="108" t="str">
        <f>数据表!D126</f>
        <v/>
      </c>
      <c r="AJ27" s="365">
        <v>175</v>
      </c>
      <c r="AK27" s="109" t="str">
        <f>IFERROR(VLOOKUP(AM27,法术大全!A:Y,2,FALSE),"")</f>
        <v/>
      </c>
      <c r="AL27" s="105" t="str">
        <f>数据表!C176</f>
        <v/>
      </c>
      <c r="AM27" s="106"/>
      <c r="AN27" s="108" t="str">
        <f>数据表!D176</f>
        <v/>
      </c>
      <c r="AO27" s="354"/>
      <c r="AQ27" s="757"/>
      <c r="AR27" s="758"/>
      <c r="AS27" s="758"/>
      <c r="AT27" s="758"/>
      <c r="AU27" s="758"/>
      <c r="AV27" s="758"/>
      <c r="AW27" s="758"/>
      <c r="AX27" s="759"/>
    </row>
    <row r="28" spans="2:50" ht="17.7" customHeight="1" x14ac:dyDescent="0.25">
      <c r="B28" s="785"/>
      <c r="C28" s="757"/>
      <c r="D28" s="758"/>
      <c r="E28" s="758"/>
      <c r="F28" s="758"/>
      <c r="G28" s="758"/>
      <c r="H28" s="758"/>
      <c r="I28" s="758"/>
      <c r="J28" s="758"/>
      <c r="K28" s="758"/>
      <c r="L28" s="758"/>
      <c r="M28" s="758"/>
      <c r="N28" s="758"/>
      <c r="O28" s="758"/>
      <c r="P28" s="758"/>
      <c r="Q28" s="758"/>
      <c r="R28" s="759"/>
      <c r="S28" s="792"/>
      <c r="T28" s="361"/>
      <c r="U28" s="362">
        <v>26</v>
      </c>
      <c r="V28" s="104" t="str">
        <f>IFERROR(VLOOKUP(X28,法术大全!A:Y,2,FALSE),"")</f>
        <v/>
      </c>
      <c r="W28" s="105" t="str">
        <f>数据表!C27</f>
        <v/>
      </c>
      <c r="X28" s="106"/>
      <c r="Y28" s="108" t="str">
        <f>数据表!D27</f>
        <v/>
      </c>
      <c r="Z28" s="362">
        <v>76</v>
      </c>
      <c r="AA28" s="109" t="str">
        <f>IFERROR(VLOOKUP(AC28,法术大全!A:Y,2,FALSE),"")</f>
        <v/>
      </c>
      <c r="AB28" s="107" t="str">
        <f>数据表!C77</f>
        <v/>
      </c>
      <c r="AC28" s="106"/>
      <c r="AD28" s="108" t="str">
        <f>数据表!D77</f>
        <v/>
      </c>
      <c r="AE28" s="363">
        <v>126</v>
      </c>
      <c r="AF28" s="104" t="str">
        <f>IFERROR(VLOOKUP(AH28,法术大全!A:Y,2,FALSE),"")</f>
        <v/>
      </c>
      <c r="AG28" s="105" t="str">
        <f>数据表!C127</f>
        <v/>
      </c>
      <c r="AH28" s="106"/>
      <c r="AI28" s="108" t="str">
        <f>数据表!D127</f>
        <v/>
      </c>
      <c r="AJ28" s="365">
        <v>176</v>
      </c>
      <c r="AK28" s="109" t="str">
        <f>IFERROR(VLOOKUP(AM28,法术大全!A:Y,2,FALSE),"")</f>
        <v/>
      </c>
      <c r="AL28" s="105" t="str">
        <f>数据表!C177</f>
        <v/>
      </c>
      <c r="AM28" s="106"/>
      <c r="AN28" s="108" t="str">
        <f>数据表!D177</f>
        <v/>
      </c>
      <c r="AO28" s="354"/>
      <c r="AQ28" s="757"/>
      <c r="AR28" s="758"/>
      <c r="AS28" s="758"/>
      <c r="AT28" s="758"/>
      <c r="AU28" s="758"/>
      <c r="AV28" s="758"/>
      <c r="AW28" s="758"/>
      <c r="AX28" s="759"/>
    </row>
    <row r="29" spans="2:50" ht="17.7" customHeight="1" x14ac:dyDescent="0.25">
      <c r="B29" s="785"/>
      <c r="C29" s="757"/>
      <c r="D29" s="758"/>
      <c r="E29" s="758"/>
      <c r="F29" s="758"/>
      <c r="G29" s="758"/>
      <c r="H29" s="758"/>
      <c r="I29" s="758"/>
      <c r="J29" s="758"/>
      <c r="K29" s="758"/>
      <c r="L29" s="758"/>
      <c r="M29" s="758"/>
      <c r="N29" s="758"/>
      <c r="O29" s="758"/>
      <c r="P29" s="758"/>
      <c r="Q29" s="758"/>
      <c r="R29" s="759"/>
      <c r="S29" s="792"/>
      <c r="T29" s="361"/>
      <c r="U29" s="362">
        <v>27</v>
      </c>
      <c r="V29" s="104" t="str">
        <f>IFERROR(VLOOKUP(X29,法术大全!A:Y,2,FALSE),"")</f>
        <v/>
      </c>
      <c r="W29" s="105" t="str">
        <f>数据表!C28</f>
        <v/>
      </c>
      <c r="X29" s="106"/>
      <c r="Y29" s="108" t="str">
        <f>数据表!D28</f>
        <v/>
      </c>
      <c r="Z29" s="362">
        <v>77</v>
      </c>
      <c r="AA29" s="109" t="str">
        <f>IFERROR(VLOOKUP(AC29,法术大全!A:Y,2,FALSE),"")</f>
        <v/>
      </c>
      <c r="AB29" s="107" t="str">
        <f>数据表!C78</f>
        <v/>
      </c>
      <c r="AC29" s="106"/>
      <c r="AD29" s="108" t="str">
        <f>数据表!D78</f>
        <v/>
      </c>
      <c r="AE29" s="363">
        <v>127</v>
      </c>
      <c r="AF29" s="104" t="str">
        <f>IFERROR(VLOOKUP(AH29,法术大全!A:Y,2,FALSE),"")</f>
        <v/>
      </c>
      <c r="AG29" s="105" t="str">
        <f>数据表!C128</f>
        <v/>
      </c>
      <c r="AH29" s="106"/>
      <c r="AI29" s="108" t="str">
        <f>数据表!D128</f>
        <v/>
      </c>
      <c r="AJ29" s="365">
        <v>177</v>
      </c>
      <c r="AK29" s="109" t="str">
        <f>IFERROR(VLOOKUP(AM29,法术大全!A:Y,2,FALSE),"")</f>
        <v/>
      </c>
      <c r="AL29" s="105" t="str">
        <f>数据表!C178</f>
        <v/>
      </c>
      <c r="AM29" s="106"/>
      <c r="AN29" s="108" t="str">
        <f>数据表!D178</f>
        <v/>
      </c>
      <c r="AO29" s="354"/>
      <c r="AQ29" s="757"/>
      <c r="AR29" s="758"/>
      <c r="AS29" s="758"/>
      <c r="AT29" s="758"/>
      <c r="AU29" s="758"/>
      <c r="AV29" s="758"/>
      <c r="AW29" s="758"/>
      <c r="AX29" s="759"/>
    </row>
    <row r="30" spans="2:50" ht="17.7" customHeight="1" x14ac:dyDescent="0.25">
      <c r="B30" s="785"/>
      <c r="C30" s="757"/>
      <c r="D30" s="758"/>
      <c r="E30" s="758"/>
      <c r="F30" s="758"/>
      <c r="G30" s="758"/>
      <c r="H30" s="758"/>
      <c r="I30" s="758"/>
      <c r="J30" s="758"/>
      <c r="K30" s="758"/>
      <c r="L30" s="758"/>
      <c r="M30" s="758"/>
      <c r="N30" s="758"/>
      <c r="O30" s="758"/>
      <c r="P30" s="758"/>
      <c r="Q30" s="758"/>
      <c r="R30" s="759"/>
      <c r="S30" s="792"/>
      <c r="T30" s="361"/>
      <c r="U30" s="362">
        <v>28</v>
      </c>
      <c r="V30" s="104" t="str">
        <f>IFERROR(VLOOKUP(X30,法术大全!A:Y,2,FALSE),"")</f>
        <v/>
      </c>
      <c r="W30" s="105" t="str">
        <f>数据表!C29</f>
        <v/>
      </c>
      <c r="X30" s="106"/>
      <c r="Y30" s="108" t="str">
        <f>数据表!D29</f>
        <v/>
      </c>
      <c r="Z30" s="362">
        <v>78</v>
      </c>
      <c r="AA30" s="109" t="str">
        <f>IFERROR(VLOOKUP(AC30,法术大全!A:Y,2,FALSE),"")</f>
        <v/>
      </c>
      <c r="AB30" s="107" t="str">
        <f>数据表!C79</f>
        <v/>
      </c>
      <c r="AC30" s="106"/>
      <c r="AD30" s="108" t="str">
        <f>数据表!D79</f>
        <v/>
      </c>
      <c r="AE30" s="363">
        <v>128</v>
      </c>
      <c r="AF30" s="104" t="str">
        <f>IFERROR(VLOOKUP(AH30,法术大全!A:Y,2,FALSE),"")</f>
        <v/>
      </c>
      <c r="AG30" s="105" t="str">
        <f>数据表!C129</f>
        <v/>
      </c>
      <c r="AH30" s="106"/>
      <c r="AI30" s="108" t="str">
        <f>数据表!D129</f>
        <v/>
      </c>
      <c r="AJ30" s="365">
        <v>178</v>
      </c>
      <c r="AK30" s="109" t="str">
        <f>IFERROR(VLOOKUP(AM30,法术大全!A:Y,2,FALSE),"")</f>
        <v/>
      </c>
      <c r="AL30" s="105" t="str">
        <f>数据表!C179</f>
        <v/>
      </c>
      <c r="AM30" s="106"/>
      <c r="AN30" s="108" t="str">
        <f>数据表!D179</f>
        <v/>
      </c>
      <c r="AO30" s="354"/>
      <c r="AQ30" s="757"/>
      <c r="AR30" s="758"/>
      <c r="AS30" s="758"/>
      <c r="AT30" s="758"/>
      <c r="AU30" s="758"/>
      <c r="AV30" s="758"/>
      <c r="AW30" s="758"/>
      <c r="AX30" s="759"/>
    </row>
    <row r="31" spans="2:50" ht="17.7" customHeight="1" x14ac:dyDescent="0.25">
      <c r="B31" s="785"/>
      <c r="C31" s="757"/>
      <c r="D31" s="758"/>
      <c r="E31" s="758"/>
      <c r="F31" s="758"/>
      <c r="G31" s="758"/>
      <c r="H31" s="758"/>
      <c r="I31" s="758"/>
      <c r="J31" s="758"/>
      <c r="K31" s="758"/>
      <c r="L31" s="758"/>
      <c r="M31" s="758"/>
      <c r="N31" s="758"/>
      <c r="O31" s="758"/>
      <c r="P31" s="758"/>
      <c r="Q31" s="758"/>
      <c r="R31" s="759"/>
      <c r="S31" s="792"/>
      <c r="T31" s="361"/>
      <c r="U31" s="362">
        <v>29</v>
      </c>
      <c r="V31" s="104" t="str">
        <f>IFERROR(VLOOKUP(X31,法术大全!A:Y,2,FALSE),"")</f>
        <v/>
      </c>
      <c r="W31" s="105" t="str">
        <f>数据表!C30</f>
        <v/>
      </c>
      <c r="X31" s="106"/>
      <c r="Y31" s="108" t="str">
        <f>数据表!D30</f>
        <v/>
      </c>
      <c r="Z31" s="362">
        <v>79</v>
      </c>
      <c r="AA31" s="109" t="str">
        <f>IFERROR(VLOOKUP(AC31,法术大全!A:Y,2,FALSE),"")</f>
        <v/>
      </c>
      <c r="AB31" s="107" t="str">
        <f>数据表!C80</f>
        <v/>
      </c>
      <c r="AC31" s="106"/>
      <c r="AD31" s="108" t="str">
        <f>数据表!D80</f>
        <v/>
      </c>
      <c r="AE31" s="363">
        <v>129</v>
      </c>
      <c r="AF31" s="104" t="str">
        <f>IFERROR(VLOOKUP(AH31,法术大全!A:Y,2,FALSE),"")</f>
        <v/>
      </c>
      <c r="AG31" s="105" t="str">
        <f>数据表!C130</f>
        <v/>
      </c>
      <c r="AH31" s="106"/>
      <c r="AI31" s="108" t="str">
        <f>数据表!D130</f>
        <v/>
      </c>
      <c r="AJ31" s="365">
        <v>179</v>
      </c>
      <c r="AK31" s="109" t="str">
        <f>IFERROR(VLOOKUP(AM31,法术大全!A:Y,2,FALSE),"")</f>
        <v/>
      </c>
      <c r="AL31" s="105" t="str">
        <f>数据表!C180</f>
        <v/>
      </c>
      <c r="AM31" s="106"/>
      <c r="AN31" s="108" t="str">
        <f>数据表!D180</f>
        <v/>
      </c>
      <c r="AO31" s="354"/>
      <c r="AQ31" s="757"/>
      <c r="AR31" s="758"/>
      <c r="AS31" s="758"/>
      <c r="AT31" s="758"/>
      <c r="AU31" s="758"/>
      <c r="AV31" s="758"/>
      <c r="AW31" s="758"/>
      <c r="AX31" s="759"/>
    </row>
    <row r="32" spans="2:50" ht="17.7" customHeight="1" x14ac:dyDescent="0.25">
      <c r="B32" s="785"/>
      <c r="C32" s="757"/>
      <c r="D32" s="758"/>
      <c r="E32" s="758"/>
      <c r="F32" s="758"/>
      <c r="G32" s="758"/>
      <c r="H32" s="758"/>
      <c r="I32" s="758"/>
      <c r="J32" s="758"/>
      <c r="K32" s="758"/>
      <c r="L32" s="758"/>
      <c r="M32" s="758"/>
      <c r="N32" s="758"/>
      <c r="O32" s="758"/>
      <c r="P32" s="758"/>
      <c r="Q32" s="758"/>
      <c r="R32" s="759"/>
      <c r="S32" s="792"/>
      <c r="T32" s="361"/>
      <c r="U32" s="362">
        <v>30</v>
      </c>
      <c r="V32" s="104" t="str">
        <f>IFERROR(VLOOKUP(X32,法术大全!A:Y,2,FALSE),"")</f>
        <v/>
      </c>
      <c r="W32" s="105" t="str">
        <f>数据表!C31</f>
        <v/>
      </c>
      <c r="X32" s="106"/>
      <c r="Y32" s="108" t="str">
        <f>数据表!D31</f>
        <v/>
      </c>
      <c r="Z32" s="362">
        <v>80</v>
      </c>
      <c r="AA32" s="109" t="str">
        <f>IFERROR(VLOOKUP(AC32,法术大全!A:Y,2,FALSE),"")</f>
        <v/>
      </c>
      <c r="AB32" s="107" t="str">
        <f>数据表!C81</f>
        <v/>
      </c>
      <c r="AC32" s="106"/>
      <c r="AD32" s="108" t="str">
        <f>数据表!D81</f>
        <v/>
      </c>
      <c r="AE32" s="363">
        <v>130</v>
      </c>
      <c r="AF32" s="104" t="str">
        <f>IFERROR(VLOOKUP(AH32,法术大全!A:Y,2,FALSE),"")</f>
        <v/>
      </c>
      <c r="AG32" s="105" t="str">
        <f>数据表!C131</f>
        <v/>
      </c>
      <c r="AH32" s="106"/>
      <c r="AI32" s="108" t="str">
        <f>数据表!D131</f>
        <v/>
      </c>
      <c r="AJ32" s="365">
        <v>180</v>
      </c>
      <c r="AK32" s="109" t="str">
        <f>IFERROR(VLOOKUP(AM32,法术大全!A:Y,2,FALSE),"")</f>
        <v/>
      </c>
      <c r="AL32" s="105" t="str">
        <f>数据表!C181</f>
        <v/>
      </c>
      <c r="AM32" s="106"/>
      <c r="AN32" s="108" t="str">
        <f>数据表!D181</f>
        <v/>
      </c>
      <c r="AO32" s="354"/>
      <c r="AQ32" s="757"/>
      <c r="AR32" s="758"/>
      <c r="AS32" s="758"/>
      <c r="AT32" s="758"/>
      <c r="AU32" s="758"/>
      <c r="AV32" s="758"/>
      <c r="AW32" s="758"/>
      <c r="AX32" s="759"/>
    </row>
    <row r="33" spans="2:50" ht="17.7" customHeight="1" x14ac:dyDescent="0.25">
      <c r="B33" s="785"/>
      <c r="C33" s="757"/>
      <c r="D33" s="758"/>
      <c r="E33" s="758"/>
      <c r="F33" s="758"/>
      <c r="G33" s="758"/>
      <c r="H33" s="758"/>
      <c r="I33" s="758"/>
      <c r="J33" s="758"/>
      <c r="K33" s="758"/>
      <c r="L33" s="758"/>
      <c r="M33" s="758"/>
      <c r="N33" s="758"/>
      <c r="O33" s="758"/>
      <c r="P33" s="758"/>
      <c r="Q33" s="758"/>
      <c r="R33" s="759"/>
      <c r="S33" s="792"/>
      <c r="T33" s="361"/>
      <c r="U33" s="362">
        <v>31</v>
      </c>
      <c r="V33" s="104" t="str">
        <f>IFERROR(VLOOKUP(X33,法术大全!A:Y,2,FALSE),"")</f>
        <v/>
      </c>
      <c r="W33" s="105" t="str">
        <f>数据表!C32</f>
        <v/>
      </c>
      <c r="X33" s="106"/>
      <c r="Y33" s="108" t="str">
        <f>数据表!D32</f>
        <v/>
      </c>
      <c r="Z33" s="362">
        <v>81</v>
      </c>
      <c r="AA33" s="109" t="str">
        <f>IFERROR(VLOOKUP(AC33,法术大全!A:Y,2,FALSE),"")</f>
        <v/>
      </c>
      <c r="AB33" s="107" t="str">
        <f>数据表!C82</f>
        <v/>
      </c>
      <c r="AC33" s="106"/>
      <c r="AD33" s="108" t="str">
        <f>数据表!D82</f>
        <v/>
      </c>
      <c r="AE33" s="363">
        <v>131</v>
      </c>
      <c r="AF33" s="104" t="str">
        <f>IFERROR(VLOOKUP(AH33,法术大全!A:Y,2,FALSE),"")</f>
        <v/>
      </c>
      <c r="AG33" s="105" t="str">
        <f>数据表!C132</f>
        <v/>
      </c>
      <c r="AH33" s="106"/>
      <c r="AI33" s="108" t="str">
        <f>数据表!D132</f>
        <v/>
      </c>
      <c r="AJ33" s="365">
        <v>181</v>
      </c>
      <c r="AK33" s="109" t="str">
        <f>IFERROR(VLOOKUP(AM33,法术大全!A:Y,2,FALSE),"")</f>
        <v/>
      </c>
      <c r="AL33" s="105" t="str">
        <f>数据表!C182</f>
        <v/>
      </c>
      <c r="AM33" s="106"/>
      <c r="AN33" s="108" t="str">
        <f>数据表!D182</f>
        <v/>
      </c>
      <c r="AO33" s="354"/>
      <c r="AQ33" s="757"/>
      <c r="AR33" s="758"/>
      <c r="AS33" s="758"/>
      <c r="AT33" s="758"/>
      <c r="AU33" s="758"/>
      <c r="AV33" s="758"/>
      <c r="AW33" s="758"/>
      <c r="AX33" s="759"/>
    </row>
    <row r="34" spans="2:50" ht="17.7" customHeight="1" x14ac:dyDescent="0.25">
      <c r="B34" s="785"/>
      <c r="C34" s="757"/>
      <c r="D34" s="758"/>
      <c r="E34" s="758"/>
      <c r="F34" s="758"/>
      <c r="G34" s="758"/>
      <c r="H34" s="758"/>
      <c r="I34" s="758"/>
      <c r="J34" s="758"/>
      <c r="K34" s="758"/>
      <c r="L34" s="758"/>
      <c r="M34" s="758"/>
      <c r="N34" s="758"/>
      <c r="O34" s="758"/>
      <c r="P34" s="758"/>
      <c r="Q34" s="758"/>
      <c r="R34" s="759"/>
      <c r="S34" s="792"/>
      <c r="T34" s="361"/>
      <c r="U34" s="362">
        <v>32</v>
      </c>
      <c r="V34" s="104" t="str">
        <f>IFERROR(VLOOKUP(X34,法术大全!A:Y,2,FALSE),"")</f>
        <v/>
      </c>
      <c r="W34" s="105" t="str">
        <f>数据表!C33</f>
        <v/>
      </c>
      <c r="X34" s="106"/>
      <c r="Y34" s="108" t="str">
        <f>数据表!D33</f>
        <v/>
      </c>
      <c r="Z34" s="362">
        <v>82</v>
      </c>
      <c r="AA34" s="109" t="str">
        <f>IFERROR(VLOOKUP(AC34,法术大全!A:Y,2,FALSE),"")</f>
        <v/>
      </c>
      <c r="AB34" s="107" t="str">
        <f>数据表!C83</f>
        <v/>
      </c>
      <c r="AC34" s="106"/>
      <c r="AD34" s="108" t="str">
        <f>数据表!D83</f>
        <v/>
      </c>
      <c r="AE34" s="363">
        <v>132</v>
      </c>
      <c r="AF34" s="104" t="str">
        <f>IFERROR(VLOOKUP(AH34,法术大全!A:Y,2,FALSE),"")</f>
        <v/>
      </c>
      <c r="AG34" s="105" t="str">
        <f>数据表!C133</f>
        <v/>
      </c>
      <c r="AH34" s="106"/>
      <c r="AI34" s="108" t="str">
        <f>数据表!D133</f>
        <v/>
      </c>
      <c r="AJ34" s="365">
        <v>182</v>
      </c>
      <c r="AK34" s="109" t="str">
        <f>IFERROR(VLOOKUP(AM34,法术大全!A:Y,2,FALSE),"")</f>
        <v/>
      </c>
      <c r="AL34" s="105" t="str">
        <f>数据表!C183</f>
        <v/>
      </c>
      <c r="AM34" s="106"/>
      <c r="AN34" s="108" t="str">
        <f>数据表!D183</f>
        <v/>
      </c>
      <c r="AO34" s="354"/>
      <c r="AQ34" s="757"/>
      <c r="AR34" s="758"/>
      <c r="AS34" s="758"/>
      <c r="AT34" s="758"/>
      <c r="AU34" s="758"/>
      <c r="AV34" s="758"/>
      <c r="AW34" s="758"/>
      <c r="AX34" s="759"/>
    </row>
    <row r="35" spans="2:50" ht="17.7" customHeight="1" x14ac:dyDescent="0.25">
      <c r="B35" s="785"/>
      <c r="C35" s="757"/>
      <c r="D35" s="758"/>
      <c r="E35" s="758"/>
      <c r="F35" s="758"/>
      <c r="G35" s="758"/>
      <c r="H35" s="758"/>
      <c r="I35" s="758"/>
      <c r="J35" s="758"/>
      <c r="K35" s="758"/>
      <c r="L35" s="758"/>
      <c r="M35" s="758"/>
      <c r="N35" s="758"/>
      <c r="O35" s="758"/>
      <c r="P35" s="758"/>
      <c r="Q35" s="758"/>
      <c r="R35" s="759"/>
      <c r="S35" s="792"/>
      <c r="T35" s="361"/>
      <c r="U35" s="362">
        <v>33</v>
      </c>
      <c r="V35" s="104" t="str">
        <f>IFERROR(VLOOKUP(X35,法术大全!A:Y,2,FALSE),"")</f>
        <v/>
      </c>
      <c r="W35" s="105" t="str">
        <f>数据表!C34</f>
        <v/>
      </c>
      <c r="X35" s="106"/>
      <c r="Y35" s="108" t="str">
        <f>数据表!D34</f>
        <v/>
      </c>
      <c r="Z35" s="362">
        <v>83</v>
      </c>
      <c r="AA35" s="109" t="str">
        <f>IFERROR(VLOOKUP(AC35,法术大全!A:Y,2,FALSE),"")</f>
        <v/>
      </c>
      <c r="AB35" s="107" t="str">
        <f>数据表!C84</f>
        <v/>
      </c>
      <c r="AC35" s="106"/>
      <c r="AD35" s="108" t="str">
        <f>数据表!D84</f>
        <v/>
      </c>
      <c r="AE35" s="363">
        <v>133</v>
      </c>
      <c r="AF35" s="104" t="str">
        <f>IFERROR(VLOOKUP(AH35,法术大全!A:Y,2,FALSE),"")</f>
        <v/>
      </c>
      <c r="AG35" s="105" t="str">
        <f>数据表!C134</f>
        <v/>
      </c>
      <c r="AH35" s="106"/>
      <c r="AI35" s="108" t="str">
        <f>数据表!D134</f>
        <v/>
      </c>
      <c r="AJ35" s="365">
        <v>183</v>
      </c>
      <c r="AK35" s="109" t="str">
        <f>IFERROR(VLOOKUP(AM35,法术大全!A:Y,2,FALSE),"")</f>
        <v/>
      </c>
      <c r="AL35" s="105" t="str">
        <f>数据表!C184</f>
        <v/>
      </c>
      <c r="AM35" s="106"/>
      <c r="AN35" s="108" t="str">
        <f>数据表!D184</f>
        <v/>
      </c>
      <c r="AO35" s="354"/>
      <c r="AQ35" s="757"/>
      <c r="AR35" s="758"/>
      <c r="AS35" s="758"/>
      <c r="AT35" s="758"/>
      <c r="AU35" s="758"/>
      <c r="AV35" s="758"/>
      <c r="AW35" s="758"/>
      <c r="AX35" s="759"/>
    </row>
    <row r="36" spans="2:50" ht="17.7" customHeight="1" x14ac:dyDescent="0.25">
      <c r="B36" s="785"/>
      <c r="C36" s="757"/>
      <c r="D36" s="758"/>
      <c r="E36" s="758"/>
      <c r="F36" s="758"/>
      <c r="G36" s="758"/>
      <c r="H36" s="758"/>
      <c r="I36" s="758"/>
      <c r="J36" s="758"/>
      <c r="K36" s="758"/>
      <c r="L36" s="758"/>
      <c r="M36" s="758"/>
      <c r="N36" s="758"/>
      <c r="O36" s="758"/>
      <c r="P36" s="758"/>
      <c r="Q36" s="758"/>
      <c r="R36" s="759"/>
      <c r="S36" s="792"/>
      <c r="T36" s="361"/>
      <c r="U36" s="362">
        <v>34</v>
      </c>
      <c r="V36" s="104" t="str">
        <f>IFERROR(VLOOKUP(X36,法术大全!A:Y,2,FALSE),"")</f>
        <v/>
      </c>
      <c r="W36" s="105" t="str">
        <f>数据表!C35</f>
        <v/>
      </c>
      <c r="X36" s="106"/>
      <c r="Y36" s="108" t="str">
        <f>数据表!D35</f>
        <v/>
      </c>
      <c r="Z36" s="362">
        <v>84</v>
      </c>
      <c r="AA36" s="109" t="str">
        <f>IFERROR(VLOOKUP(AC36,法术大全!A:Y,2,FALSE),"")</f>
        <v/>
      </c>
      <c r="AB36" s="107" t="str">
        <f>数据表!C85</f>
        <v/>
      </c>
      <c r="AC36" s="106"/>
      <c r="AD36" s="108" t="str">
        <f>数据表!D85</f>
        <v/>
      </c>
      <c r="AE36" s="363">
        <v>134</v>
      </c>
      <c r="AF36" s="104" t="str">
        <f>IFERROR(VLOOKUP(AH36,法术大全!A:Y,2,FALSE),"")</f>
        <v/>
      </c>
      <c r="AG36" s="105" t="str">
        <f>数据表!C135</f>
        <v/>
      </c>
      <c r="AH36" s="106"/>
      <c r="AI36" s="108" t="str">
        <f>数据表!D135</f>
        <v/>
      </c>
      <c r="AJ36" s="365">
        <v>184</v>
      </c>
      <c r="AK36" s="109" t="str">
        <f>IFERROR(VLOOKUP(AM36,法术大全!A:Y,2,FALSE),"")</f>
        <v/>
      </c>
      <c r="AL36" s="105" t="str">
        <f>数据表!C185</f>
        <v/>
      </c>
      <c r="AM36" s="106"/>
      <c r="AN36" s="108" t="str">
        <f>数据表!D185</f>
        <v/>
      </c>
      <c r="AO36" s="354"/>
      <c r="AQ36" s="757"/>
      <c r="AR36" s="758"/>
      <c r="AS36" s="758"/>
      <c r="AT36" s="758"/>
      <c r="AU36" s="758"/>
      <c r="AV36" s="758"/>
      <c r="AW36" s="758"/>
      <c r="AX36" s="759"/>
    </row>
    <row r="37" spans="2:50" ht="17.7" customHeight="1" x14ac:dyDescent="0.25">
      <c r="B37" s="785"/>
      <c r="C37" s="757"/>
      <c r="D37" s="758"/>
      <c r="E37" s="758"/>
      <c r="F37" s="758"/>
      <c r="G37" s="758"/>
      <c r="H37" s="758"/>
      <c r="I37" s="758"/>
      <c r="J37" s="758"/>
      <c r="K37" s="758"/>
      <c r="L37" s="758"/>
      <c r="M37" s="758"/>
      <c r="N37" s="758"/>
      <c r="O37" s="758"/>
      <c r="P37" s="758"/>
      <c r="Q37" s="758"/>
      <c r="R37" s="759"/>
      <c r="S37" s="792"/>
      <c r="T37" s="361"/>
      <c r="U37" s="362">
        <v>35</v>
      </c>
      <c r="V37" s="104" t="str">
        <f>IFERROR(VLOOKUP(X37,法术大全!A:Y,2,FALSE),"")</f>
        <v/>
      </c>
      <c r="W37" s="105" t="str">
        <f>数据表!C36</f>
        <v/>
      </c>
      <c r="X37" s="106"/>
      <c r="Y37" s="108" t="str">
        <f>数据表!D36</f>
        <v/>
      </c>
      <c r="Z37" s="362">
        <v>85</v>
      </c>
      <c r="AA37" s="109" t="str">
        <f>IFERROR(VLOOKUP(AC37,法术大全!A:Y,2,FALSE),"")</f>
        <v/>
      </c>
      <c r="AB37" s="107" t="str">
        <f>数据表!C86</f>
        <v/>
      </c>
      <c r="AC37" s="106"/>
      <c r="AD37" s="108" t="str">
        <f>数据表!D86</f>
        <v/>
      </c>
      <c r="AE37" s="363">
        <v>135</v>
      </c>
      <c r="AF37" s="104" t="str">
        <f>IFERROR(VLOOKUP(AH37,法术大全!A:Y,2,FALSE),"")</f>
        <v/>
      </c>
      <c r="AG37" s="105" t="str">
        <f>数据表!C136</f>
        <v/>
      </c>
      <c r="AH37" s="106" t="s">
        <v>187</v>
      </c>
      <c r="AI37" s="108" t="str">
        <f>数据表!D136</f>
        <v/>
      </c>
      <c r="AJ37" s="365">
        <v>185</v>
      </c>
      <c r="AK37" s="109" t="str">
        <f>IFERROR(VLOOKUP(AM37,法术大全!A:Y,2,FALSE),"")</f>
        <v/>
      </c>
      <c r="AL37" s="105" t="str">
        <f>数据表!C186</f>
        <v/>
      </c>
      <c r="AM37" s="106"/>
      <c r="AN37" s="108" t="str">
        <f>数据表!D186</f>
        <v/>
      </c>
      <c r="AO37" s="354"/>
      <c r="AQ37" s="757"/>
      <c r="AR37" s="758"/>
      <c r="AS37" s="758"/>
      <c r="AT37" s="758"/>
      <c r="AU37" s="758"/>
      <c r="AV37" s="758"/>
      <c r="AW37" s="758"/>
      <c r="AX37" s="759"/>
    </row>
    <row r="38" spans="2:50" ht="17.7" customHeight="1" x14ac:dyDescent="0.25">
      <c r="B38" s="785"/>
      <c r="C38" s="757"/>
      <c r="D38" s="758"/>
      <c r="E38" s="758"/>
      <c r="F38" s="758"/>
      <c r="G38" s="758"/>
      <c r="H38" s="758"/>
      <c r="I38" s="758"/>
      <c r="J38" s="758"/>
      <c r="K38" s="758"/>
      <c r="L38" s="758"/>
      <c r="M38" s="758"/>
      <c r="N38" s="758"/>
      <c r="O38" s="758"/>
      <c r="P38" s="758"/>
      <c r="Q38" s="758"/>
      <c r="R38" s="759"/>
      <c r="S38" s="792"/>
      <c r="T38" s="361"/>
      <c r="U38" s="362">
        <v>36</v>
      </c>
      <c r="V38" s="104" t="str">
        <f>IFERROR(VLOOKUP(X38,法术大全!A:Y,2,FALSE),"")</f>
        <v/>
      </c>
      <c r="W38" s="105" t="str">
        <f>数据表!C37</f>
        <v/>
      </c>
      <c r="X38" s="106"/>
      <c r="Y38" s="108" t="str">
        <f>数据表!D37</f>
        <v/>
      </c>
      <c r="Z38" s="362">
        <v>86</v>
      </c>
      <c r="AA38" s="109" t="str">
        <f>IFERROR(VLOOKUP(AC38,法术大全!A:Y,2,FALSE),"")</f>
        <v/>
      </c>
      <c r="AB38" s="107" t="str">
        <f>数据表!C87</f>
        <v/>
      </c>
      <c r="AC38" s="106"/>
      <c r="AD38" s="108" t="str">
        <f>数据表!D87</f>
        <v/>
      </c>
      <c r="AE38" s="363">
        <v>136</v>
      </c>
      <c r="AF38" s="104" t="str">
        <f>IFERROR(VLOOKUP(AH38,法术大全!A:Y,2,FALSE),"")</f>
        <v/>
      </c>
      <c r="AG38" s="105" t="str">
        <f>数据表!C137</f>
        <v/>
      </c>
      <c r="AH38" s="106" t="s">
        <v>187</v>
      </c>
      <c r="AI38" s="108" t="str">
        <f>数据表!D137</f>
        <v/>
      </c>
      <c r="AJ38" s="365">
        <v>186</v>
      </c>
      <c r="AK38" s="109" t="str">
        <f>IFERROR(VLOOKUP(AM38,法术大全!A:Y,2,FALSE),"")</f>
        <v/>
      </c>
      <c r="AL38" s="105" t="str">
        <f>数据表!C187</f>
        <v/>
      </c>
      <c r="AM38" s="106"/>
      <c r="AN38" s="108" t="str">
        <f>数据表!D187</f>
        <v/>
      </c>
      <c r="AO38" s="354"/>
      <c r="AQ38" s="757"/>
      <c r="AR38" s="758"/>
      <c r="AS38" s="758"/>
      <c r="AT38" s="758"/>
      <c r="AU38" s="758"/>
      <c r="AV38" s="758"/>
      <c r="AW38" s="758"/>
      <c r="AX38" s="759"/>
    </row>
    <row r="39" spans="2:50" ht="17.7" customHeight="1" x14ac:dyDescent="0.25">
      <c r="B39" s="785"/>
      <c r="C39" s="757"/>
      <c r="D39" s="758"/>
      <c r="E39" s="758"/>
      <c r="F39" s="758"/>
      <c r="G39" s="758"/>
      <c r="H39" s="758"/>
      <c r="I39" s="758"/>
      <c r="J39" s="758"/>
      <c r="K39" s="758"/>
      <c r="L39" s="758"/>
      <c r="M39" s="758"/>
      <c r="N39" s="758"/>
      <c r="O39" s="758"/>
      <c r="P39" s="758"/>
      <c r="Q39" s="758"/>
      <c r="R39" s="759"/>
      <c r="S39" s="792"/>
      <c r="T39" s="361"/>
      <c r="U39" s="362">
        <v>37</v>
      </c>
      <c r="V39" s="104" t="str">
        <f>IFERROR(VLOOKUP(X39,法术大全!A:Y,2,FALSE),"")</f>
        <v/>
      </c>
      <c r="W39" s="105" t="str">
        <f>数据表!C38</f>
        <v/>
      </c>
      <c r="X39" s="106"/>
      <c r="Y39" s="108" t="str">
        <f>数据表!D38</f>
        <v/>
      </c>
      <c r="Z39" s="362">
        <v>87</v>
      </c>
      <c r="AA39" s="109" t="str">
        <f>IFERROR(VLOOKUP(AC39,法术大全!A:Y,2,FALSE),"")</f>
        <v/>
      </c>
      <c r="AB39" s="107" t="str">
        <f>数据表!C88</f>
        <v/>
      </c>
      <c r="AC39" s="106"/>
      <c r="AD39" s="108" t="str">
        <f>数据表!D88</f>
        <v/>
      </c>
      <c r="AE39" s="363">
        <v>137</v>
      </c>
      <c r="AF39" s="104" t="str">
        <f>IFERROR(VLOOKUP(AH39,法术大全!A:Y,2,FALSE),"")</f>
        <v/>
      </c>
      <c r="AG39" s="105" t="str">
        <f>数据表!C138</f>
        <v/>
      </c>
      <c r="AH39" s="106" t="s">
        <v>187</v>
      </c>
      <c r="AI39" s="108" t="str">
        <f>数据表!D138</f>
        <v/>
      </c>
      <c r="AJ39" s="365">
        <v>187</v>
      </c>
      <c r="AK39" s="109" t="str">
        <f>IFERROR(VLOOKUP(AM39,法术大全!A:Y,2,FALSE),"")</f>
        <v/>
      </c>
      <c r="AL39" s="105" t="str">
        <f>数据表!C188</f>
        <v/>
      </c>
      <c r="AM39" s="106"/>
      <c r="AN39" s="108" t="str">
        <f>数据表!D188</f>
        <v/>
      </c>
      <c r="AO39" s="354"/>
      <c r="AQ39" s="757"/>
      <c r="AR39" s="758"/>
      <c r="AS39" s="758"/>
      <c r="AT39" s="758"/>
      <c r="AU39" s="758"/>
      <c r="AV39" s="758"/>
      <c r="AW39" s="758"/>
      <c r="AX39" s="759"/>
    </row>
    <row r="40" spans="2:50" ht="17.7" customHeight="1" x14ac:dyDescent="0.25">
      <c r="B40" s="785"/>
      <c r="C40" s="757"/>
      <c r="D40" s="758"/>
      <c r="E40" s="758"/>
      <c r="F40" s="758"/>
      <c r="G40" s="758"/>
      <c r="H40" s="758"/>
      <c r="I40" s="758"/>
      <c r="J40" s="758"/>
      <c r="K40" s="758"/>
      <c r="L40" s="758"/>
      <c r="M40" s="758"/>
      <c r="N40" s="758"/>
      <c r="O40" s="758"/>
      <c r="P40" s="758"/>
      <c r="Q40" s="758"/>
      <c r="R40" s="759"/>
      <c r="S40" s="792"/>
      <c r="T40" s="361"/>
      <c r="U40" s="362">
        <v>38</v>
      </c>
      <c r="V40" s="104" t="str">
        <f>IFERROR(VLOOKUP(X40,法术大全!A:Y,2,FALSE),"")</f>
        <v/>
      </c>
      <c r="W40" s="105" t="str">
        <f>数据表!C39</f>
        <v/>
      </c>
      <c r="X40" s="106"/>
      <c r="Y40" s="108" t="str">
        <f>数据表!D39</f>
        <v/>
      </c>
      <c r="Z40" s="362">
        <v>88</v>
      </c>
      <c r="AA40" s="109" t="str">
        <f>IFERROR(VLOOKUP(AC40,法术大全!A:Y,2,FALSE),"")</f>
        <v/>
      </c>
      <c r="AB40" s="107" t="str">
        <f>数据表!C89</f>
        <v/>
      </c>
      <c r="AC40" s="106"/>
      <c r="AD40" s="108" t="str">
        <f>数据表!D89</f>
        <v/>
      </c>
      <c r="AE40" s="363">
        <v>138</v>
      </c>
      <c r="AF40" s="104" t="str">
        <f>IFERROR(VLOOKUP(AH40,法术大全!A:Y,2,FALSE),"")</f>
        <v/>
      </c>
      <c r="AG40" s="105" t="str">
        <f>数据表!C139</f>
        <v/>
      </c>
      <c r="AH40" s="106" t="s">
        <v>187</v>
      </c>
      <c r="AI40" s="108" t="str">
        <f>数据表!D139</f>
        <v/>
      </c>
      <c r="AJ40" s="365">
        <v>188</v>
      </c>
      <c r="AK40" s="109" t="str">
        <f>IFERROR(VLOOKUP(AM40,法术大全!A:Y,2,FALSE),"")</f>
        <v/>
      </c>
      <c r="AL40" s="105" t="str">
        <f>数据表!C189</f>
        <v/>
      </c>
      <c r="AM40" s="106"/>
      <c r="AN40" s="108" t="str">
        <f>数据表!D189</f>
        <v/>
      </c>
      <c r="AO40" s="354"/>
      <c r="AQ40" s="757"/>
      <c r="AR40" s="758"/>
      <c r="AS40" s="758"/>
      <c r="AT40" s="758"/>
      <c r="AU40" s="758"/>
      <c r="AV40" s="758"/>
      <c r="AW40" s="758"/>
      <c r="AX40" s="759"/>
    </row>
    <row r="41" spans="2:50" ht="17.7" customHeight="1" x14ac:dyDescent="0.25">
      <c r="B41" s="785"/>
      <c r="C41" s="757"/>
      <c r="D41" s="758"/>
      <c r="E41" s="758"/>
      <c r="F41" s="758"/>
      <c r="G41" s="758"/>
      <c r="H41" s="758"/>
      <c r="I41" s="758"/>
      <c r="J41" s="758"/>
      <c r="K41" s="758"/>
      <c r="L41" s="758"/>
      <c r="M41" s="758"/>
      <c r="N41" s="758"/>
      <c r="O41" s="758"/>
      <c r="P41" s="758"/>
      <c r="Q41" s="758"/>
      <c r="R41" s="759"/>
      <c r="S41" s="792"/>
      <c r="T41" s="361"/>
      <c r="U41" s="362">
        <v>39</v>
      </c>
      <c r="V41" s="104" t="str">
        <f>IFERROR(VLOOKUP(X41,法术大全!A:Y,2,FALSE),"")</f>
        <v/>
      </c>
      <c r="W41" s="105" t="str">
        <f>数据表!C40</f>
        <v/>
      </c>
      <c r="X41" s="106"/>
      <c r="Y41" s="108" t="str">
        <f>数据表!D40</f>
        <v/>
      </c>
      <c r="Z41" s="362">
        <v>89</v>
      </c>
      <c r="AA41" s="109" t="str">
        <f>IFERROR(VLOOKUP(AC41,法术大全!A:Y,2,FALSE),"")</f>
        <v/>
      </c>
      <c r="AB41" s="107" t="str">
        <f>数据表!C90</f>
        <v/>
      </c>
      <c r="AC41" s="106"/>
      <c r="AD41" s="108" t="str">
        <f>数据表!D90</f>
        <v/>
      </c>
      <c r="AE41" s="363">
        <v>139</v>
      </c>
      <c r="AF41" s="104" t="str">
        <f>IFERROR(VLOOKUP(AH41,法术大全!A:Y,2,FALSE),"")</f>
        <v/>
      </c>
      <c r="AG41" s="105" t="str">
        <f>数据表!C140</f>
        <v/>
      </c>
      <c r="AH41" s="106" t="s">
        <v>187</v>
      </c>
      <c r="AI41" s="108" t="str">
        <f>数据表!D140</f>
        <v/>
      </c>
      <c r="AJ41" s="365">
        <v>189</v>
      </c>
      <c r="AK41" s="109" t="str">
        <f>IFERROR(VLOOKUP(AM41,法术大全!A:Y,2,FALSE),"")</f>
        <v/>
      </c>
      <c r="AL41" s="105" t="str">
        <f>数据表!C190</f>
        <v/>
      </c>
      <c r="AM41" s="106"/>
      <c r="AN41" s="108" t="str">
        <f>数据表!D190</f>
        <v/>
      </c>
      <c r="AO41" s="354"/>
      <c r="AQ41" s="757"/>
      <c r="AR41" s="758"/>
      <c r="AS41" s="758"/>
      <c r="AT41" s="758"/>
      <c r="AU41" s="758"/>
      <c r="AV41" s="758"/>
      <c r="AW41" s="758"/>
      <c r="AX41" s="759"/>
    </row>
    <row r="42" spans="2:50" ht="17.7" customHeight="1" x14ac:dyDescent="0.25">
      <c r="B42" s="785"/>
      <c r="C42" s="757"/>
      <c r="D42" s="758"/>
      <c r="E42" s="758"/>
      <c r="F42" s="758"/>
      <c r="G42" s="758"/>
      <c r="H42" s="758"/>
      <c r="I42" s="758"/>
      <c r="J42" s="758"/>
      <c r="K42" s="758"/>
      <c r="L42" s="758"/>
      <c r="M42" s="758"/>
      <c r="N42" s="758"/>
      <c r="O42" s="758"/>
      <c r="P42" s="758"/>
      <c r="Q42" s="758"/>
      <c r="R42" s="759"/>
      <c r="S42" s="792"/>
      <c r="T42" s="361"/>
      <c r="U42" s="362">
        <v>40</v>
      </c>
      <c r="V42" s="104" t="str">
        <f>IFERROR(VLOOKUP(X42,法术大全!A:Y,2,FALSE),"")</f>
        <v/>
      </c>
      <c r="W42" s="105" t="str">
        <f>数据表!C41</f>
        <v/>
      </c>
      <c r="X42" s="106"/>
      <c r="Y42" s="108" t="str">
        <f>数据表!D41</f>
        <v/>
      </c>
      <c r="Z42" s="362">
        <v>90</v>
      </c>
      <c r="AA42" s="109" t="str">
        <f>IFERROR(VLOOKUP(AC42,法术大全!A:Y,2,FALSE),"")</f>
        <v/>
      </c>
      <c r="AB42" s="107" t="str">
        <f>数据表!C91</f>
        <v/>
      </c>
      <c r="AC42" s="106"/>
      <c r="AD42" s="108" t="str">
        <f>数据表!D91</f>
        <v/>
      </c>
      <c r="AE42" s="363">
        <v>140</v>
      </c>
      <c r="AF42" s="104" t="str">
        <f>IFERROR(VLOOKUP(AH42,法术大全!A:Y,2,FALSE),"")</f>
        <v/>
      </c>
      <c r="AG42" s="105" t="str">
        <f>数据表!C141</f>
        <v/>
      </c>
      <c r="AH42" s="106" t="s">
        <v>187</v>
      </c>
      <c r="AI42" s="108" t="str">
        <f>数据表!D141</f>
        <v/>
      </c>
      <c r="AJ42" s="365">
        <v>190</v>
      </c>
      <c r="AK42" s="109" t="str">
        <f>IFERROR(VLOOKUP(AM42,法术大全!A:Y,2,FALSE),"")</f>
        <v/>
      </c>
      <c r="AL42" s="105" t="str">
        <f>数据表!C191</f>
        <v/>
      </c>
      <c r="AM42" s="106"/>
      <c r="AN42" s="108" t="str">
        <f>数据表!D191</f>
        <v/>
      </c>
      <c r="AO42" s="354"/>
      <c r="AQ42" s="757"/>
      <c r="AR42" s="758"/>
      <c r="AS42" s="758"/>
      <c r="AT42" s="758"/>
      <c r="AU42" s="758"/>
      <c r="AV42" s="758"/>
      <c r="AW42" s="758"/>
      <c r="AX42" s="759"/>
    </row>
    <row r="43" spans="2:50" ht="17.7" customHeight="1" x14ac:dyDescent="0.25">
      <c r="B43" s="785"/>
      <c r="C43" s="757"/>
      <c r="D43" s="758"/>
      <c r="E43" s="758"/>
      <c r="F43" s="758"/>
      <c r="G43" s="758"/>
      <c r="H43" s="758"/>
      <c r="I43" s="758"/>
      <c r="J43" s="758"/>
      <c r="K43" s="758"/>
      <c r="L43" s="758"/>
      <c r="M43" s="758"/>
      <c r="N43" s="758"/>
      <c r="O43" s="758"/>
      <c r="P43" s="758"/>
      <c r="Q43" s="758"/>
      <c r="R43" s="759"/>
      <c r="S43" s="792"/>
      <c r="T43" s="361"/>
      <c r="U43" s="362">
        <v>41</v>
      </c>
      <c r="V43" s="104" t="str">
        <f>IFERROR(VLOOKUP(X43,法术大全!A:Y,2,FALSE),"")</f>
        <v/>
      </c>
      <c r="W43" s="105" t="str">
        <f>数据表!C42</f>
        <v/>
      </c>
      <c r="X43" s="106"/>
      <c r="Y43" s="108" t="str">
        <f>数据表!D42</f>
        <v/>
      </c>
      <c r="Z43" s="362">
        <v>91</v>
      </c>
      <c r="AA43" s="109" t="str">
        <f>IFERROR(VLOOKUP(AC43,法术大全!A:Y,2,FALSE),"")</f>
        <v/>
      </c>
      <c r="AB43" s="105" t="str">
        <f>数据表!C92</f>
        <v/>
      </c>
      <c r="AC43" s="106"/>
      <c r="AD43" s="108" t="str">
        <f>数据表!D92</f>
        <v/>
      </c>
      <c r="AE43" s="363">
        <v>141</v>
      </c>
      <c r="AF43" s="104" t="str">
        <f>IFERROR(VLOOKUP(AH43,法术大全!A:Y,2,FALSE),"")</f>
        <v/>
      </c>
      <c r="AG43" s="105" t="str">
        <f>数据表!C142</f>
        <v/>
      </c>
      <c r="AH43" s="106" t="s">
        <v>187</v>
      </c>
      <c r="AI43" s="108" t="str">
        <f>数据表!D142</f>
        <v/>
      </c>
      <c r="AJ43" s="365">
        <v>191</v>
      </c>
      <c r="AK43" s="109" t="str">
        <f>IFERROR(VLOOKUP(AM43,法术大全!A:Y,2,FALSE),"")</f>
        <v/>
      </c>
      <c r="AL43" s="105" t="str">
        <f>数据表!C192</f>
        <v/>
      </c>
      <c r="AM43" s="106"/>
      <c r="AN43" s="108" t="str">
        <f>数据表!D192</f>
        <v/>
      </c>
      <c r="AO43" s="354"/>
      <c r="AQ43" s="757"/>
      <c r="AR43" s="758"/>
      <c r="AS43" s="758"/>
      <c r="AT43" s="758"/>
      <c r="AU43" s="758"/>
      <c r="AV43" s="758"/>
      <c r="AW43" s="758"/>
      <c r="AX43" s="759"/>
    </row>
    <row r="44" spans="2:50" ht="17.7" customHeight="1" x14ac:dyDescent="0.25">
      <c r="B44" s="785"/>
      <c r="C44" s="757"/>
      <c r="D44" s="758"/>
      <c r="E44" s="758"/>
      <c r="F44" s="758"/>
      <c r="G44" s="758"/>
      <c r="H44" s="758"/>
      <c r="I44" s="758"/>
      <c r="J44" s="758"/>
      <c r="K44" s="758"/>
      <c r="L44" s="758"/>
      <c r="M44" s="758"/>
      <c r="N44" s="758"/>
      <c r="O44" s="758"/>
      <c r="P44" s="758"/>
      <c r="Q44" s="758"/>
      <c r="R44" s="759"/>
      <c r="S44" s="792"/>
      <c r="T44" s="361"/>
      <c r="U44" s="362">
        <v>42</v>
      </c>
      <c r="V44" s="104" t="str">
        <f>IFERROR(VLOOKUP(X44,法术大全!A:Y,2,FALSE),"")</f>
        <v/>
      </c>
      <c r="W44" s="105" t="str">
        <f>数据表!C43</f>
        <v/>
      </c>
      <c r="X44" s="106"/>
      <c r="Y44" s="108" t="str">
        <f>数据表!D43</f>
        <v/>
      </c>
      <c r="Z44" s="362">
        <v>92</v>
      </c>
      <c r="AA44" s="109" t="str">
        <f>IFERROR(VLOOKUP(AC44,法术大全!A:Y,2,FALSE),"")</f>
        <v/>
      </c>
      <c r="AB44" s="105" t="str">
        <f>数据表!C93</f>
        <v/>
      </c>
      <c r="AC44" s="106"/>
      <c r="AD44" s="108" t="str">
        <f>数据表!D93</f>
        <v/>
      </c>
      <c r="AE44" s="363">
        <v>142</v>
      </c>
      <c r="AF44" s="104" t="str">
        <f>IFERROR(VLOOKUP(AH44,法术大全!A:Y,2,FALSE),"")</f>
        <v/>
      </c>
      <c r="AG44" s="105" t="str">
        <f>数据表!C143</f>
        <v/>
      </c>
      <c r="AH44" s="106" t="s">
        <v>187</v>
      </c>
      <c r="AI44" s="108" t="str">
        <f>数据表!D143</f>
        <v/>
      </c>
      <c r="AJ44" s="365">
        <v>192</v>
      </c>
      <c r="AK44" s="109" t="str">
        <f>IFERROR(VLOOKUP(AM44,法术大全!A:Y,2,FALSE),"")</f>
        <v/>
      </c>
      <c r="AL44" s="105" t="str">
        <f>数据表!C193</f>
        <v/>
      </c>
      <c r="AM44" s="106"/>
      <c r="AN44" s="108" t="str">
        <f>数据表!D193</f>
        <v/>
      </c>
      <c r="AO44" s="354"/>
      <c r="AQ44" s="757"/>
      <c r="AR44" s="758"/>
      <c r="AS44" s="758"/>
      <c r="AT44" s="758"/>
      <c r="AU44" s="758"/>
      <c r="AV44" s="758"/>
      <c r="AW44" s="758"/>
      <c r="AX44" s="759"/>
    </row>
    <row r="45" spans="2:50" ht="17.7" customHeight="1" x14ac:dyDescent="0.25">
      <c r="B45" s="785"/>
      <c r="C45" s="757"/>
      <c r="D45" s="758"/>
      <c r="E45" s="758"/>
      <c r="F45" s="758"/>
      <c r="G45" s="758"/>
      <c r="H45" s="758"/>
      <c r="I45" s="758"/>
      <c r="J45" s="758"/>
      <c r="K45" s="758"/>
      <c r="L45" s="758"/>
      <c r="M45" s="758"/>
      <c r="N45" s="758"/>
      <c r="O45" s="758"/>
      <c r="P45" s="758"/>
      <c r="Q45" s="758"/>
      <c r="R45" s="759"/>
      <c r="S45" s="792"/>
      <c r="T45" s="361"/>
      <c r="U45" s="362">
        <v>43</v>
      </c>
      <c r="V45" s="104" t="str">
        <f>IFERROR(VLOOKUP(X45,法术大全!A:Y,2,FALSE),"")</f>
        <v/>
      </c>
      <c r="W45" s="105" t="str">
        <f>数据表!C44</f>
        <v/>
      </c>
      <c r="X45" s="106"/>
      <c r="Y45" s="108" t="str">
        <f>数据表!D44</f>
        <v/>
      </c>
      <c r="Z45" s="362">
        <v>93</v>
      </c>
      <c r="AA45" s="109" t="str">
        <f>IFERROR(VLOOKUP(AC45,法术大全!A:Y,2,FALSE),"")</f>
        <v/>
      </c>
      <c r="AB45" s="105" t="str">
        <f>数据表!C94</f>
        <v/>
      </c>
      <c r="AC45" s="106"/>
      <c r="AD45" s="108" t="str">
        <f>数据表!D94</f>
        <v/>
      </c>
      <c r="AE45" s="363">
        <v>143</v>
      </c>
      <c r="AF45" s="104" t="str">
        <f>IFERROR(VLOOKUP(AH45,法术大全!A:Y,2,FALSE),"")</f>
        <v/>
      </c>
      <c r="AG45" s="105" t="str">
        <f>数据表!C144</f>
        <v/>
      </c>
      <c r="AH45" s="106" t="s">
        <v>187</v>
      </c>
      <c r="AI45" s="108" t="str">
        <f>数据表!D144</f>
        <v/>
      </c>
      <c r="AJ45" s="365">
        <v>193</v>
      </c>
      <c r="AK45" s="109" t="str">
        <f>IFERROR(VLOOKUP(AM45,法术大全!A:Y,2,FALSE),"")</f>
        <v/>
      </c>
      <c r="AL45" s="105" t="str">
        <f>数据表!C194</f>
        <v/>
      </c>
      <c r="AM45" s="106"/>
      <c r="AN45" s="108" t="str">
        <f>数据表!D194</f>
        <v/>
      </c>
      <c r="AO45" s="354"/>
      <c r="AQ45" s="757"/>
      <c r="AR45" s="758"/>
      <c r="AS45" s="758"/>
      <c r="AT45" s="758"/>
      <c r="AU45" s="758"/>
      <c r="AV45" s="758"/>
      <c r="AW45" s="758"/>
      <c r="AX45" s="759"/>
    </row>
    <row r="46" spans="2:50" ht="17.7" customHeight="1" x14ac:dyDescent="0.25">
      <c r="B46" s="785"/>
      <c r="C46" s="757"/>
      <c r="D46" s="758"/>
      <c r="E46" s="758"/>
      <c r="F46" s="758"/>
      <c r="G46" s="758"/>
      <c r="H46" s="758"/>
      <c r="I46" s="758"/>
      <c r="J46" s="758"/>
      <c r="K46" s="758"/>
      <c r="L46" s="758"/>
      <c r="M46" s="758"/>
      <c r="N46" s="758"/>
      <c r="O46" s="758"/>
      <c r="P46" s="758"/>
      <c r="Q46" s="758"/>
      <c r="R46" s="759"/>
      <c r="S46" s="792"/>
      <c r="T46" s="361"/>
      <c r="U46" s="362">
        <v>44</v>
      </c>
      <c r="V46" s="104" t="str">
        <f>IFERROR(VLOOKUP(X46,法术大全!A:Y,2,FALSE),"")</f>
        <v/>
      </c>
      <c r="W46" s="105" t="str">
        <f>数据表!C45</f>
        <v/>
      </c>
      <c r="X46" s="106"/>
      <c r="Y46" s="108" t="str">
        <f>数据表!D45</f>
        <v/>
      </c>
      <c r="Z46" s="362">
        <v>94</v>
      </c>
      <c r="AA46" s="109" t="str">
        <f>IFERROR(VLOOKUP(AC46,法术大全!A:Y,2,FALSE),"")</f>
        <v/>
      </c>
      <c r="AB46" s="105" t="str">
        <f>数据表!C95</f>
        <v/>
      </c>
      <c r="AC46" s="106"/>
      <c r="AD46" s="108" t="str">
        <f>数据表!D95</f>
        <v/>
      </c>
      <c r="AE46" s="363">
        <v>144</v>
      </c>
      <c r="AF46" s="104" t="str">
        <f>IFERROR(VLOOKUP(AH46,法术大全!A:Y,2,FALSE),"")</f>
        <v/>
      </c>
      <c r="AG46" s="105" t="str">
        <f>数据表!C145</f>
        <v/>
      </c>
      <c r="AH46" s="106" t="s">
        <v>187</v>
      </c>
      <c r="AI46" s="108" t="str">
        <f>数据表!D145</f>
        <v/>
      </c>
      <c r="AJ46" s="365">
        <v>194</v>
      </c>
      <c r="AK46" s="109" t="str">
        <f>IFERROR(VLOOKUP(AM46,法术大全!A:Y,2,FALSE),"")</f>
        <v/>
      </c>
      <c r="AL46" s="105" t="str">
        <f>数据表!C195</f>
        <v/>
      </c>
      <c r="AM46" s="106"/>
      <c r="AN46" s="108" t="str">
        <f>数据表!D195</f>
        <v/>
      </c>
      <c r="AO46" s="354"/>
      <c r="AQ46" s="757"/>
      <c r="AR46" s="758"/>
      <c r="AS46" s="758"/>
      <c r="AT46" s="758"/>
      <c r="AU46" s="758"/>
      <c r="AV46" s="758"/>
      <c r="AW46" s="758"/>
      <c r="AX46" s="759"/>
    </row>
    <row r="47" spans="2:50" ht="17.7" customHeight="1" x14ac:dyDescent="0.25">
      <c r="B47" s="785"/>
      <c r="C47" s="757"/>
      <c r="D47" s="758"/>
      <c r="E47" s="758"/>
      <c r="F47" s="758"/>
      <c r="G47" s="758"/>
      <c r="H47" s="758"/>
      <c r="I47" s="758"/>
      <c r="J47" s="758"/>
      <c r="K47" s="758"/>
      <c r="L47" s="758"/>
      <c r="M47" s="758"/>
      <c r="N47" s="758"/>
      <c r="O47" s="758"/>
      <c r="P47" s="758"/>
      <c r="Q47" s="758"/>
      <c r="R47" s="759"/>
      <c r="S47" s="792"/>
      <c r="T47" s="361"/>
      <c r="U47" s="362">
        <v>45</v>
      </c>
      <c r="V47" s="104" t="str">
        <f>IFERROR(VLOOKUP(X47,法术大全!A:Y,2,FALSE),"")</f>
        <v/>
      </c>
      <c r="W47" s="105" t="str">
        <f>数据表!C46</f>
        <v/>
      </c>
      <c r="X47" s="106"/>
      <c r="Y47" s="108" t="str">
        <f>数据表!D46</f>
        <v/>
      </c>
      <c r="Z47" s="362">
        <v>95</v>
      </c>
      <c r="AA47" s="109" t="str">
        <f>IFERROR(VLOOKUP(AC47,法术大全!A:Y,2,FALSE),"")</f>
        <v/>
      </c>
      <c r="AB47" s="105" t="str">
        <f>数据表!C96</f>
        <v/>
      </c>
      <c r="AC47" s="106"/>
      <c r="AD47" s="108" t="str">
        <f>数据表!D96</f>
        <v/>
      </c>
      <c r="AE47" s="363">
        <v>145</v>
      </c>
      <c r="AF47" s="104" t="str">
        <f>IFERROR(VLOOKUP(AH47,法术大全!A:Y,2,FALSE),"")</f>
        <v/>
      </c>
      <c r="AG47" s="105" t="str">
        <f>数据表!C146</f>
        <v/>
      </c>
      <c r="AH47" s="106" t="s">
        <v>187</v>
      </c>
      <c r="AI47" s="108" t="str">
        <f>数据表!D146</f>
        <v/>
      </c>
      <c r="AJ47" s="365">
        <v>195</v>
      </c>
      <c r="AK47" s="109" t="str">
        <f>IFERROR(VLOOKUP(AM47,法术大全!A:Y,2,FALSE),"")</f>
        <v/>
      </c>
      <c r="AL47" s="105" t="str">
        <f>数据表!C196</f>
        <v/>
      </c>
      <c r="AM47" s="106"/>
      <c r="AN47" s="108" t="str">
        <f>数据表!D196</f>
        <v/>
      </c>
      <c r="AO47" s="354"/>
      <c r="AQ47" s="757"/>
      <c r="AR47" s="758"/>
      <c r="AS47" s="758"/>
      <c r="AT47" s="758"/>
      <c r="AU47" s="758"/>
      <c r="AV47" s="758"/>
      <c r="AW47" s="758"/>
      <c r="AX47" s="759"/>
    </row>
    <row r="48" spans="2:50" ht="17.7" customHeight="1" x14ac:dyDescent="0.25">
      <c r="B48" s="785"/>
      <c r="C48" s="757"/>
      <c r="D48" s="758"/>
      <c r="E48" s="758"/>
      <c r="F48" s="758"/>
      <c r="G48" s="758"/>
      <c r="H48" s="758"/>
      <c r="I48" s="758"/>
      <c r="J48" s="758"/>
      <c r="K48" s="758"/>
      <c r="L48" s="758"/>
      <c r="M48" s="758"/>
      <c r="N48" s="758"/>
      <c r="O48" s="758"/>
      <c r="P48" s="758"/>
      <c r="Q48" s="758"/>
      <c r="R48" s="759"/>
      <c r="S48" s="792"/>
      <c r="T48" s="361"/>
      <c r="U48" s="362">
        <v>46</v>
      </c>
      <c r="V48" s="104" t="str">
        <f>IFERROR(VLOOKUP(X48,法术大全!A:Y,2,FALSE),"")</f>
        <v/>
      </c>
      <c r="W48" s="107" t="str">
        <f>数据表!C47</f>
        <v/>
      </c>
      <c r="X48" s="106"/>
      <c r="Y48" s="108" t="str">
        <f>数据表!D47</f>
        <v/>
      </c>
      <c r="Z48" s="362">
        <v>96</v>
      </c>
      <c r="AA48" s="109" t="str">
        <f>IFERROR(VLOOKUP(AC48,法术大全!A:Y,2,FALSE),"")</f>
        <v/>
      </c>
      <c r="AB48" s="105" t="str">
        <f>数据表!C97</f>
        <v/>
      </c>
      <c r="AC48" s="106"/>
      <c r="AD48" s="108" t="str">
        <f>数据表!D97</f>
        <v/>
      </c>
      <c r="AE48" s="363">
        <v>146</v>
      </c>
      <c r="AF48" s="104" t="str">
        <f>IFERROR(VLOOKUP(AH48,法术大全!A:Y,2,FALSE),"")</f>
        <v/>
      </c>
      <c r="AG48" s="105" t="str">
        <f>数据表!C147</f>
        <v/>
      </c>
      <c r="AH48" s="106" t="s">
        <v>187</v>
      </c>
      <c r="AI48" s="108" t="str">
        <f>数据表!D147</f>
        <v/>
      </c>
      <c r="AJ48" s="365">
        <v>196</v>
      </c>
      <c r="AK48" s="109" t="str">
        <f>IFERROR(VLOOKUP(AM48,法术大全!A:Y,2,FALSE),"")</f>
        <v/>
      </c>
      <c r="AL48" s="105" t="str">
        <f>数据表!C197</f>
        <v/>
      </c>
      <c r="AM48" s="106"/>
      <c r="AN48" s="108" t="str">
        <f>数据表!D197</f>
        <v/>
      </c>
      <c r="AO48" s="354"/>
      <c r="AQ48" s="757"/>
      <c r="AR48" s="758"/>
      <c r="AS48" s="758"/>
      <c r="AT48" s="758"/>
      <c r="AU48" s="758"/>
      <c r="AV48" s="758"/>
      <c r="AW48" s="758"/>
      <c r="AX48" s="759"/>
    </row>
    <row r="49" spans="2:50" ht="17.7" customHeight="1" x14ac:dyDescent="0.25">
      <c r="B49" s="785"/>
      <c r="C49" s="757"/>
      <c r="D49" s="758"/>
      <c r="E49" s="758"/>
      <c r="F49" s="758"/>
      <c r="G49" s="758"/>
      <c r="H49" s="758"/>
      <c r="I49" s="758"/>
      <c r="J49" s="758"/>
      <c r="K49" s="758"/>
      <c r="L49" s="758"/>
      <c r="M49" s="758"/>
      <c r="N49" s="758"/>
      <c r="O49" s="758"/>
      <c r="P49" s="758"/>
      <c r="Q49" s="758"/>
      <c r="R49" s="759"/>
      <c r="S49" s="792"/>
      <c r="T49" s="361"/>
      <c r="U49" s="362">
        <v>47</v>
      </c>
      <c r="V49" s="104" t="str">
        <f>IFERROR(VLOOKUP(X49,法术大全!A:Y,2,FALSE),"")</f>
        <v/>
      </c>
      <c r="W49" s="107" t="str">
        <f>数据表!C48</f>
        <v/>
      </c>
      <c r="X49" s="106"/>
      <c r="Y49" s="108" t="str">
        <f>数据表!D48</f>
        <v/>
      </c>
      <c r="Z49" s="362">
        <v>97</v>
      </c>
      <c r="AA49" s="109" t="str">
        <f>IFERROR(VLOOKUP(AC49,法术大全!A:Y,2,FALSE),"")</f>
        <v/>
      </c>
      <c r="AB49" s="105" t="str">
        <f>数据表!C98</f>
        <v/>
      </c>
      <c r="AC49" s="106"/>
      <c r="AD49" s="108" t="str">
        <f>数据表!D98</f>
        <v/>
      </c>
      <c r="AE49" s="363">
        <v>147</v>
      </c>
      <c r="AF49" s="104" t="str">
        <f>IFERROR(VLOOKUP(AH49,法术大全!A:Y,2,FALSE),"")</f>
        <v/>
      </c>
      <c r="AG49" s="105" t="str">
        <f>数据表!C148</f>
        <v/>
      </c>
      <c r="AH49" s="106" t="s">
        <v>187</v>
      </c>
      <c r="AI49" s="108" t="str">
        <f>数据表!D148</f>
        <v/>
      </c>
      <c r="AJ49" s="365">
        <v>197</v>
      </c>
      <c r="AK49" s="109" t="str">
        <f>IFERROR(VLOOKUP(AM49,法术大全!A:Y,2,FALSE),"")</f>
        <v/>
      </c>
      <c r="AL49" s="105" t="str">
        <f>数据表!C198</f>
        <v/>
      </c>
      <c r="AM49" s="106"/>
      <c r="AN49" s="108" t="str">
        <f>数据表!D198</f>
        <v/>
      </c>
      <c r="AO49" s="354"/>
      <c r="AQ49" s="757"/>
      <c r="AR49" s="758"/>
      <c r="AS49" s="758"/>
      <c r="AT49" s="758"/>
      <c r="AU49" s="758"/>
      <c r="AV49" s="758"/>
      <c r="AW49" s="758"/>
      <c r="AX49" s="759"/>
    </row>
    <row r="50" spans="2:50" ht="17.7" customHeight="1" x14ac:dyDescent="0.25">
      <c r="B50" s="785"/>
      <c r="C50" s="757"/>
      <c r="D50" s="758"/>
      <c r="E50" s="758"/>
      <c r="F50" s="758"/>
      <c r="G50" s="758"/>
      <c r="H50" s="758"/>
      <c r="I50" s="758"/>
      <c r="J50" s="758"/>
      <c r="K50" s="758"/>
      <c r="L50" s="758"/>
      <c r="M50" s="758"/>
      <c r="N50" s="758"/>
      <c r="O50" s="758"/>
      <c r="P50" s="758"/>
      <c r="Q50" s="758"/>
      <c r="R50" s="759"/>
      <c r="S50" s="792"/>
      <c r="T50" s="361"/>
      <c r="U50" s="362">
        <v>48</v>
      </c>
      <c r="V50" s="104" t="str">
        <f>IFERROR(VLOOKUP(X50,法术大全!A:Y,2,FALSE),"")</f>
        <v/>
      </c>
      <c r="W50" s="107" t="str">
        <f>数据表!C49</f>
        <v/>
      </c>
      <c r="X50" s="106"/>
      <c r="Y50" s="108" t="str">
        <f>数据表!D49</f>
        <v/>
      </c>
      <c r="Z50" s="362">
        <v>98</v>
      </c>
      <c r="AA50" s="109" t="str">
        <f>IFERROR(VLOOKUP(AC50,法术大全!A:Y,2,FALSE),"")</f>
        <v/>
      </c>
      <c r="AB50" s="105" t="str">
        <f>数据表!C99</f>
        <v/>
      </c>
      <c r="AC50" s="106"/>
      <c r="AD50" s="108" t="str">
        <f>数据表!D99</f>
        <v/>
      </c>
      <c r="AE50" s="363">
        <v>148</v>
      </c>
      <c r="AF50" s="104" t="str">
        <f>IFERROR(VLOOKUP(AH50,法术大全!A:Y,2,FALSE),"")</f>
        <v/>
      </c>
      <c r="AG50" s="105" t="str">
        <f>数据表!C149</f>
        <v/>
      </c>
      <c r="AH50" s="106" t="s">
        <v>187</v>
      </c>
      <c r="AI50" s="108" t="str">
        <f>数据表!D149</f>
        <v/>
      </c>
      <c r="AJ50" s="365">
        <v>198</v>
      </c>
      <c r="AK50" s="109" t="str">
        <f>IFERROR(VLOOKUP(AM50,法术大全!A:Y,2,FALSE),"")</f>
        <v/>
      </c>
      <c r="AL50" s="105" t="str">
        <f>数据表!C199</f>
        <v/>
      </c>
      <c r="AM50" s="106"/>
      <c r="AN50" s="108" t="str">
        <f>数据表!D199</f>
        <v/>
      </c>
      <c r="AO50" s="354"/>
      <c r="AQ50" s="757"/>
      <c r="AR50" s="758"/>
      <c r="AS50" s="758"/>
      <c r="AT50" s="758"/>
      <c r="AU50" s="758"/>
      <c r="AV50" s="758"/>
      <c r="AW50" s="758"/>
      <c r="AX50" s="759"/>
    </row>
    <row r="51" spans="2:50" ht="17.7" customHeight="1" x14ac:dyDescent="0.25">
      <c r="B51" s="785"/>
      <c r="C51" s="757"/>
      <c r="D51" s="758"/>
      <c r="E51" s="758"/>
      <c r="F51" s="758"/>
      <c r="G51" s="758"/>
      <c r="H51" s="758"/>
      <c r="I51" s="758"/>
      <c r="J51" s="758"/>
      <c r="K51" s="758"/>
      <c r="L51" s="758"/>
      <c r="M51" s="758"/>
      <c r="N51" s="758"/>
      <c r="O51" s="758"/>
      <c r="P51" s="758"/>
      <c r="Q51" s="758"/>
      <c r="R51" s="759"/>
      <c r="S51" s="792"/>
      <c r="T51" s="361"/>
      <c r="U51" s="362">
        <v>49</v>
      </c>
      <c r="V51" s="104" t="str">
        <f>IFERROR(VLOOKUP(X51,法术大全!A:Y,2,FALSE),"")</f>
        <v/>
      </c>
      <c r="W51" s="107" t="str">
        <f>数据表!C50</f>
        <v/>
      </c>
      <c r="X51" s="106"/>
      <c r="Y51" s="108" t="str">
        <f>数据表!D50</f>
        <v/>
      </c>
      <c r="Z51" s="362">
        <v>99</v>
      </c>
      <c r="AA51" s="109" t="str">
        <f>IFERROR(VLOOKUP(AC51,法术大全!A:Y,2,FALSE),"")</f>
        <v/>
      </c>
      <c r="AB51" s="105" t="str">
        <f>数据表!C100</f>
        <v/>
      </c>
      <c r="AC51" s="106"/>
      <c r="AD51" s="108" t="str">
        <f>数据表!D100</f>
        <v/>
      </c>
      <c r="AE51" s="363">
        <v>149</v>
      </c>
      <c r="AF51" s="104" t="str">
        <f>IFERROR(VLOOKUP(AH51,法术大全!A:Y,2,FALSE),"")</f>
        <v/>
      </c>
      <c r="AG51" s="105" t="str">
        <f>数据表!C150</f>
        <v/>
      </c>
      <c r="AH51" s="106" t="s">
        <v>187</v>
      </c>
      <c r="AI51" s="108" t="str">
        <f>数据表!D150</f>
        <v/>
      </c>
      <c r="AJ51" s="365">
        <v>199</v>
      </c>
      <c r="AK51" s="109" t="str">
        <f>IFERROR(VLOOKUP(AM51,法术大全!A:Y,2,FALSE),"")</f>
        <v/>
      </c>
      <c r="AL51" s="105" t="str">
        <f>数据表!C200</f>
        <v/>
      </c>
      <c r="AM51" s="106"/>
      <c r="AN51" s="108" t="str">
        <f>数据表!D200</f>
        <v/>
      </c>
      <c r="AO51" s="354"/>
      <c r="AQ51" s="757"/>
      <c r="AR51" s="758"/>
      <c r="AS51" s="758"/>
      <c r="AT51" s="758"/>
      <c r="AU51" s="758"/>
      <c r="AV51" s="758"/>
      <c r="AW51" s="758"/>
      <c r="AX51" s="759"/>
    </row>
    <row r="52" spans="2:50" ht="17.7" customHeight="1" x14ac:dyDescent="0.25">
      <c r="B52" s="360"/>
      <c r="C52" s="760"/>
      <c r="D52" s="761"/>
      <c r="E52" s="761"/>
      <c r="F52" s="761"/>
      <c r="G52" s="761"/>
      <c r="H52" s="761"/>
      <c r="I52" s="761"/>
      <c r="J52" s="761"/>
      <c r="K52" s="761"/>
      <c r="L52" s="761"/>
      <c r="M52" s="761"/>
      <c r="N52" s="761"/>
      <c r="O52" s="761"/>
      <c r="P52" s="761"/>
      <c r="Q52" s="761"/>
      <c r="R52" s="762"/>
      <c r="S52" s="792"/>
      <c r="T52" s="361"/>
      <c r="U52" s="362">
        <v>50</v>
      </c>
      <c r="V52" s="104" t="str">
        <f>IFERROR(VLOOKUP(X52,法术大全!A:Y,2,FALSE),"")</f>
        <v/>
      </c>
      <c r="W52" s="107" t="str">
        <f>数据表!C51</f>
        <v/>
      </c>
      <c r="X52" s="106"/>
      <c r="Y52" s="108" t="str">
        <f>数据表!D51</f>
        <v/>
      </c>
      <c r="Z52" s="362">
        <v>100</v>
      </c>
      <c r="AA52" s="109" t="str">
        <f>IFERROR(VLOOKUP(AC52,法术大全!A:Y,2,FALSE),"")</f>
        <v/>
      </c>
      <c r="AB52" s="105" t="str">
        <f>数据表!C101</f>
        <v/>
      </c>
      <c r="AC52" s="106"/>
      <c r="AD52" s="108" t="str">
        <f>数据表!D101</f>
        <v/>
      </c>
      <c r="AE52" s="363">
        <v>150</v>
      </c>
      <c r="AF52" s="104" t="str">
        <f>IFERROR(VLOOKUP(AH52,法术大全!A:Y,2,FALSE),"")</f>
        <v/>
      </c>
      <c r="AG52" s="105" t="str">
        <f>数据表!C151</f>
        <v/>
      </c>
      <c r="AH52" s="106" t="s">
        <v>187</v>
      </c>
      <c r="AI52" s="108" t="str">
        <f>数据表!D151</f>
        <v/>
      </c>
      <c r="AJ52" s="364">
        <v>200</v>
      </c>
      <c r="AK52" s="109" t="str">
        <f>IFERROR(VLOOKUP(AM52,法术大全!A:Y,2,FALSE),"")</f>
        <v/>
      </c>
      <c r="AL52" s="105" t="str">
        <f>数据表!C201</f>
        <v/>
      </c>
      <c r="AM52" s="106"/>
      <c r="AN52" s="108" t="str">
        <f>数据表!D201</f>
        <v/>
      </c>
      <c r="AO52" s="354"/>
      <c r="AQ52" s="757"/>
      <c r="AR52" s="758"/>
      <c r="AS52" s="758"/>
      <c r="AT52" s="758"/>
      <c r="AU52" s="758"/>
      <c r="AV52" s="758"/>
      <c r="AW52" s="758"/>
      <c r="AX52" s="759"/>
    </row>
    <row r="53" spans="2:50" ht="17.7" customHeight="1" x14ac:dyDescent="0.25">
      <c r="B53" s="356"/>
      <c r="C53" s="357"/>
      <c r="D53" s="357"/>
      <c r="E53" s="357"/>
      <c r="F53" s="357"/>
      <c r="G53" s="357"/>
      <c r="H53" s="357"/>
      <c r="I53" s="357"/>
      <c r="J53" s="357"/>
      <c r="K53" s="357"/>
      <c r="L53" s="357"/>
      <c r="M53" s="357"/>
      <c r="N53" s="357"/>
      <c r="O53" s="357"/>
      <c r="P53" s="357"/>
      <c r="Q53" s="357"/>
      <c r="R53" s="357"/>
      <c r="S53" s="355"/>
      <c r="T53" s="357"/>
      <c r="U53" s="357"/>
      <c r="V53" s="358"/>
      <c r="W53" s="358"/>
      <c r="X53" s="357"/>
      <c r="Y53" s="357"/>
      <c r="Z53" s="357"/>
      <c r="AA53" s="357"/>
      <c r="AB53" s="357"/>
      <c r="AC53" s="357"/>
      <c r="AD53" s="357"/>
      <c r="AE53" s="357"/>
      <c r="AF53" s="357"/>
      <c r="AG53" s="357"/>
      <c r="AH53" s="357"/>
      <c r="AI53" s="357"/>
      <c r="AJ53" s="357"/>
      <c r="AK53" s="359"/>
      <c r="AL53" s="357"/>
      <c r="AM53" s="357"/>
      <c r="AN53" s="357"/>
      <c r="AO53" s="355"/>
      <c r="AQ53" s="760"/>
      <c r="AR53" s="761"/>
      <c r="AS53" s="761"/>
      <c r="AT53" s="761"/>
      <c r="AU53" s="761"/>
      <c r="AV53" s="761"/>
      <c r="AW53" s="761"/>
      <c r="AX53" s="762"/>
    </row>
  </sheetData>
  <sheetProtection sheet="1" selectLockedCells="1"/>
  <mergeCells count="31">
    <mergeCell ref="U2:X2"/>
    <mergeCell ref="Z2:AI2"/>
    <mergeCell ref="C7:R7"/>
    <mergeCell ref="C8:J8"/>
    <mergeCell ref="M8:N8"/>
    <mergeCell ref="O8:R8"/>
    <mergeCell ref="S3:S52"/>
    <mergeCell ref="B3:B51"/>
    <mergeCell ref="E13:E18"/>
    <mergeCell ref="C23:R52"/>
    <mergeCell ref="E11:J12"/>
    <mergeCell ref="M11:R12"/>
    <mergeCell ref="C13:D18"/>
    <mergeCell ref="F13:G18"/>
    <mergeCell ref="H13:R18"/>
    <mergeCell ref="AQ2:AX53"/>
    <mergeCell ref="C3:R6"/>
    <mergeCell ref="C9:D10"/>
    <mergeCell ref="K9:L10"/>
    <mergeCell ref="M9:N10"/>
    <mergeCell ref="O9:P10"/>
    <mergeCell ref="Q9:R10"/>
    <mergeCell ref="E9:J10"/>
    <mergeCell ref="C11:D12"/>
    <mergeCell ref="K11:L12"/>
    <mergeCell ref="C19:D20"/>
    <mergeCell ref="E19:R20"/>
    <mergeCell ref="C21:R21"/>
    <mergeCell ref="C22:E22"/>
    <mergeCell ref="G22:R22"/>
    <mergeCell ref="C2:F2"/>
  </mergeCells>
  <phoneticPr fontId="86" type="noConversion"/>
  <conditionalFormatting sqref="W3:W52 AB3:AB52 AG3:AG52">
    <cfRule type="cellIs" dxfId="4" priority="14" operator="equal">
      <formula>"√"</formula>
    </cfRule>
  </conditionalFormatting>
  <conditionalFormatting sqref="Y3:Y52 AD3:AD52 AI3:AI52 AN3:AN52">
    <cfRule type="cellIs" dxfId="3" priority="4" operator="equal">
      <formula>"√"</formula>
    </cfRule>
  </conditionalFormatting>
  <conditionalFormatting sqref="AC3:AC52 AH3:AH52 AM3:AM52 X3:X52">
    <cfRule type="duplicateValues" dxfId="2" priority="16"/>
  </conditionalFormatting>
  <conditionalFormatting sqref="AL3:AL52">
    <cfRule type="cellIs" dxfId="1" priority="2" operator="equal">
      <formula>"√"</formula>
    </cfRule>
  </conditionalFormatting>
  <conditionalFormatting sqref="AM3:AM52">
    <cfRule type="duplicateValues" dxfId="0" priority="3"/>
  </conditionalFormatting>
  <pageMargins left="0.75" right="0.75" top="1" bottom="1" header="0.5" footer="0.5"/>
  <extLst>
    <ext xmlns:x14="http://schemas.microsoft.com/office/spreadsheetml/2009/9/main" uri="{CCE6A557-97BC-4b89-ADB6-D9C93CAAB3DF}">
      <x14:dataValidations xmlns:xm="http://schemas.microsoft.com/office/excel/2006/main" count="1">
        <x14:dataValidation type="list" errorStyle="information" allowBlank="1" showInputMessage="1" errorTitle="此法术不存在" error="可能是译名未更新，或是扩展尚未收录，" xr:uid="{00000000-0002-0000-0B00-000000000000}">
          <x14:formula1>
            <xm:f>OFFSET(法术大全!$A$3,,,SUMPRODUCT(N(LEN(法术大全!$A$3:$A$594)&gt;0)),)</xm:f>
          </x14:formula1>
          <xm:sqref>X3:X52 AC3:AC52 AH3:AH52 AM3:AM52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rgb="FF7030A0"/>
  </sheetPr>
  <dimension ref="A1:AB594"/>
  <sheetViews>
    <sheetView zoomScaleNormal="100" workbookViewId="0">
      <pane ySplit="2" topLeftCell="A3" activePane="bottomLeft" state="frozen"/>
      <selection pane="bottomLeft" activeCell="D3" sqref="D3"/>
    </sheetView>
  </sheetViews>
  <sheetFormatPr defaultColWidth="8.88671875" defaultRowHeight="16.95" customHeight="1" x14ac:dyDescent="0.25"/>
  <cols>
    <col min="1" max="1" width="18.33203125" style="26" customWidth="1"/>
    <col min="2" max="2" width="4.88671875" style="26" customWidth="1"/>
    <col min="3" max="3" width="7.77734375" style="26" customWidth="1"/>
    <col min="4" max="5" width="4.77734375" style="26" customWidth="1"/>
    <col min="6" max="6" width="10.77734375" style="28" customWidth="1"/>
    <col min="7" max="7" width="11.88671875" style="26" customWidth="1"/>
    <col min="8" max="10" width="4.77734375" style="26" customWidth="1"/>
    <col min="11" max="11" width="15" style="29" customWidth="1"/>
    <col min="12" max="12" width="17.33203125" style="30" customWidth="1"/>
    <col min="13" max="13" width="59.88671875" style="31" customWidth="1"/>
    <col min="14" max="14" width="20.6640625" style="29" customWidth="1"/>
    <col min="15" max="15" width="11.77734375" style="26" customWidth="1"/>
    <col min="16" max="16" width="7.77734375" style="26" customWidth="1"/>
    <col min="17" max="18" width="9.77734375" style="26" customWidth="1"/>
    <col min="19" max="20" width="7.77734375" style="26" customWidth="1"/>
    <col min="21" max="21" width="9.77734375" style="26" customWidth="1"/>
    <col min="22" max="22" width="7.77734375" style="26" customWidth="1"/>
    <col min="23" max="23" width="9.77734375" style="26" customWidth="1"/>
    <col min="24" max="25" width="7.77734375" style="26" customWidth="1"/>
    <col min="26" max="26" width="9.44140625" style="27" customWidth="1"/>
    <col min="27" max="16384" width="8.88671875" style="30"/>
  </cols>
  <sheetData>
    <row r="1" spans="1:28" s="26" customFormat="1" ht="14.4" customHeight="1" x14ac:dyDescent="0.25">
      <c r="A1" s="26">
        <v>1</v>
      </c>
      <c r="B1" s="26">
        <v>2</v>
      </c>
      <c r="C1" s="26">
        <v>3</v>
      </c>
      <c r="D1" s="26">
        <v>4</v>
      </c>
      <c r="E1" s="26">
        <v>5</v>
      </c>
      <c r="F1" s="28">
        <v>6</v>
      </c>
      <c r="G1" s="26">
        <v>7</v>
      </c>
      <c r="H1" s="26">
        <v>8</v>
      </c>
      <c r="I1" s="26">
        <v>9</v>
      </c>
      <c r="J1" s="26">
        <v>10</v>
      </c>
      <c r="K1" s="28">
        <v>11</v>
      </c>
      <c r="L1" s="26">
        <v>12</v>
      </c>
      <c r="M1" s="28">
        <v>13</v>
      </c>
      <c r="N1" s="50">
        <v>14</v>
      </c>
      <c r="O1" s="26">
        <v>15</v>
      </c>
      <c r="P1" s="26">
        <v>16</v>
      </c>
      <c r="Q1" s="26">
        <v>17</v>
      </c>
      <c r="R1" s="26">
        <v>18</v>
      </c>
      <c r="S1" s="26">
        <v>19</v>
      </c>
      <c r="T1" s="26">
        <v>20</v>
      </c>
      <c r="U1" s="26">
        <v>21</v>
      </c>
      <c r="V1" s="26">
        <v>22</v>
      </c>
      <c r="W1" s="26">
        <v>23</v>
      </c>
      <c r="X1" s="26">
        <v>24</v>
      </c>
      <c r="Y1" s="26">
        <v>25</v>
      </c>
      <c r="Z1" s="27">
        <v>26</v>
      </c>
    </row>
    <row r="2" spans="1:28" s="27" customFormat="1" ht="14.4" customHeight="1" x14ac:dyDescent="0.25">
      <c r="A2" s="32" t="s">
        <v>193</v>
      </c>
      <c r="B2" s="32" t="s">
        <v>184</v>
      </c>
      <c r="C2" s="32" t="s">
        <v>2277</v>
      </c>
      <c r="D2" s="32" t="s">
        <v>202</v>
      </c>
      <c r="E2" s="32" t="s">
        <v>201</v>
      </c>
      <c r="F2" s="33" t="s">
        <v>195</v>
      </c>
      <c r="G2" s="32" t="s">
        <v>194</v>
      </c>
      <c r="H2" s="32" t="s">
        <v>2278</v>
      </c>
      <c r="I2" s="32" t="s">
        <v>2279</v>
      </c>
      <c r="J2" s="32" t="s">
        <v>2280</v>
      </c>
      <c r="K2" s="33" t="s">
        <v>2281</v>
      </c>
      <c r="L2" s="51" t="s">
        <v>197</v>
      </c>
      <c r="M2" s="31" t="s">
        <v>2282</v>
      </c>
      <c r="N2" s="52" t="s">
        <v>2283</v>
      </c>
      <c r="O2" s="32" t="s">
        <v>216</v>
      </c>
      <c r="P2" s="32" t="s">
        <v>227</v>
      </c>
      <c r="Q2" s="32" t="s">
        <v>237</v>
      </c>
      <c r="R2" s="32" t="s">
        <v>248</v>
      </c>
      <c r="S2" s="32" t="s">
        <v>257</v>
      </c>
      <c r="T2" s="32" t="s">
        <v>267</v>
      </c>
      <c r="U2" s="32" t="s">
        <v>277</v>
      </c>
      <c r="V2" s="32" t="s">
        <v>285</v>
      </c>
      <c r="W2" s="32" t="s">
        <v>791</v>
      </c>
      <c r="X2" s="32" t="s">
        <v>2284</v>
      </c>
      <c r="Y2" s="32" t="s">
        <v>2285</v>
      </c>
      <c r="Z2" s="32" t="s">
        <v>2286</v>
      </c>
      <c r="AA2" s="77"/>
      <c r="AB2" s="77"/>
    </row>
    <row r="3" spans="1:28" ht="16.95" customHeight="1" x14ac:dyDescent="0.25">
      <c r="A3" s="34" t="s">
        <v>2287</v>
      </c>
      <c r="B3" s="34">
        <v>0</v>
      </c>
      <c r="C3" s="34" t="s">
        <v>2288</v>
      </c>
      <c r="D3" s="34"/>
      <c r="E3" s="34"/>
      <c r="F3" s="35" t="s">
        <v>2251</v>
      </c>
      <c r="G3" s="34" t="s">
        <v>2289</v>
      </c>
      <c r="H3" s="34" t="s">
        <v>2290</v>
      </c>
      <c r="I3" s="34" t="s">
        <v>2291</v>
      </c>
      <c r="J3" s="34"/>
      <c r="K3" s="53"/>
      <c r="L3" s="54" t="s">
        <v>2292</v>
      </c>
      <c r="M3" s="55" t="s">
        <v>2293</v>
      </c>
      <c r="N3" s="53" t="s">
        <v>2294</v>
      </c>
      <c r="O3" s="34"/>
      <c r="P3" s="34"/>
      <c r="Q3" s="34"/>
      <c r="R3" s="34"/>
      <c r="S3" s="34"/>
      <c r="T3" s="34" t="s">
        <v>1933</v>
      </c>
      <c r="U3" s="34"/>
      <c r="V3" s="34" t="s">
        <v>1933</v>
      </c>
      <c r="W3" s="34" t="s">
        <v>1933</v>
      </c>
      <c r="X3" s="34"/>
      <c r="Y3" s="34"/>
      <c r="Z3" s="32" t="s">
        <v>2295</v>
      </c>
    </row>
    <row r="4" spans="1:28" ht="16.95" customHeight="1" x14ac:dyDescent="0.25">
      <c r="A4" s="36" t="s">
        <v>2296</v>
      </c>
      <c r="B4" s="36">
        <v>0</v>
      </c>
      <c r="C4" s="36" t="s">
        <v>2297</v>
      </c>
      <c r="D4" s="36"/>
      <c r="E4" s="36" t="s">
        <v>1933</v>
      </c>
      <c r="F4" s="37" t="s">
        <v>2251</v>
      </c>
      <c r="G4" s="36" t="s">
        <v>2298</v>
      </c>
      <c r="H4" s="36" t="s">
        <v>2290</v>
      </c>
      <c r="I4" s="36" t="s">
        <v>2291</v>
      </c>
      <c r="J4" s="36"/>
      <c r="K4" s="56"/>
      <c r="L4" s="57" t="s">
        <v>2299</v>
      </c>
      <c r="M4" s="58" t="s">
        <v>2300</v>
      </c>
      <c r="N4" s="56" t="s">
        <v>2301</v>
      </c>
      <c r="O4" s="36" t="s">
        <v>1933</v>
      </c>
      <c r="P4" s="36"/>
      <c r="Q4" s="36"/>
      <c r="R4" s="36"/>
      <c r="S4" s="36"/>
      <c r="T4" s="36" t="s">
        <v>1933</v>
      </c>
      <c r="U4" s="36" t="s">
        <v>1933</v>
      </c>
      <c r="V4" s="36" t="s">
        <v>1933</v>
      </c>
      <c r="W4" s="36"/>
      <c r="X4" s="36"/>
      <c r="Y4" s="36"/>
      <c r="Z4" s="32" t="s">
        <v>2295</v>
      </c>
    </row>
    <row r="5" spans="1:28" ht="16.95" customHeight="1" x14ac:dyDescent="0.25">
      <c r="A5" s="38" t="s">
        <v>2302</v>
      </c>
      <c r="B5" s="38">
        <v>0</v>
      </c>
      <c r="C5" s="38" t="s">
        <v>2303</v>
      </c>
      <c r="D5" s="38"/>
      <c r="E5" s="38"/>
      <c r="F5" s="39" t="s">
        <v>2251</v>
      </c>
      <c r="G5" s="38" t="s">
        <v>2304</v>
      </c>
      <c r="H5" s="38" t="s">
        <v>2290</v>
      </c>
      <c r="I5" s="38" t="s">
        <v>2291</v>
      </c>
      <c r="J5" s="38"/>
      <c r="K5" s="59"/>
      <c r="L5" s="60" t="s">
        <v>2292</v>
      </c>
      <c r="M5" s="61" t="s">
        <v>2305</v>
      </c>
      <c r="N5" s="59" t="s">
        <v>2306</v>
      </c>
      <c r="O5" s="38"/>
      <c r="P5" s="38"/>
      <c r="Q5" s="38"/>
      <c r="R5" s="38"/>
      <c r="S5" s="38"/>
      <c r="T5" s="38" t="s">
        <v>1933</v>
      </c>
      <c r="U5" s="38" t="s">
        <v>1933</v>
      </c>
      <c r="V5" s="38" t="s">
        <v>1933</v>
      </c>
      <c r="W5" s="38"/>
      <c r="X5" s="38"/>
      <c r="Y5" s="38"/>
      <c r="Z5" s="32" t="s">
        <v>2295</v>
      </c>
    </row>
    <row r="6" spans="1:28" ht="16.95" customHeight="1" x14ac:dyDescent="0.25">
      <c r="A6" s="40" t="s">
        <v>2307</v>
      </c>
      <c r="B6" s="40">
        <v>0</v>
      </c>
      <c r="C6" s="40" t="s">
        <v>2308</v>
      </c>
      <c r="D6" s="40"/>
      <c r="E6" s="40" t="s">
        <v>1933</v>
      </c>
      <c r="F6" s="41" t="s">
        <v>2251</v>
      </c>
      <c r="G6" s="40" t="s">
        <v>2309</v>
      </c>
      <c r="H6" s="40" t="s">
        <v>2290</v>
      </c>
      <c r="I6" s="40" t="s">
        <v>2291</v>
      </c>
      <c r="J6" s="40" t="s">
        <v>2310</v>
      </c>
      <c r="K6" s="62" t="s">
        <v>2311</v>
      </c>
      <c r="L6" s="63" t="s">
        <v>2299</v>
      </c>
      <c r="M6" s="64" t="s">
        <v>2312</v>
      </c>
      <c r="N6" s="62" t="s">
        <v>2313</v>
      </c>
      <c r="O6" s="40" t="s">
        <v>1933</v>
      </c>
      <c r="P6" s="40"/>
      <c r="Q6" s="40"/>
      <c r="R6" s="40"/>
      <c r="S6" s="40"/>
      <c r="T6" s="40" t="s">
        <v>1933</v>
      </c>
      <c r="U6" s="40"/>
      <c r="V6" s="40" t="s">
        <v>1933</v>
      </c>
      <c r="W6" s="40" t="s">
        <v>1933</v>
      </c>
      <c r="X6" s="40"/>
      <c r="Y6" s="40"/>
      <c r="Z6" s="32" t="s">
        <v>2295</v>
      </c>
    </row>
    <row r="7" spans="1:28" ht="16.95" customHeight="1" x14ac:dyDescent="0.25">
      <c r="A7" s="42" t="s">
        <v>2314</v>
      </c>
      <c r="B7" s="42">
        <v>0</v>
      </c>
      <c r="C7" s="42" t="s">
        <v>2315</v>
      </c>
      <c r="D7" s="42"/>
      <c r="E7" s="42"/>
      <c r="F7" s="43" t="s">
        <v>2251</v>
      </c>
      <c r="G7" s="42" t="s">
        <v>2018</v>
      </c>
      <c r="H7" s="42" t="s">
        <v>2290</v>
      </c>
      <c r="I7" s="42" t="s">
        <v>2291</v>
      </c>
      <c r="J7" s="42"/>
      <c r="K7" s="65"/>
      <c r="L7" s="66" t="s">
        <v>2292</v>
      </c>
      <c r="M7" s="67" t="s">
        <v>2316</v>
      </c>
      <c r="N7" s="65" t="s">
        <v>2317</v>
      </c>
      <c r="O7" s="42"/>
      <c r="P7" s="42"/>
      <c r="Q7" s="42" t="s">
        <v>1933</v>
      </c>
      <c r="R7" s="42"/>
      <c r="S7" s="42"/>
      <c r="T7" s="42"/>
      <c r="U7" s="42"/>
      <c r="V7" s="42"/>
      <c r="W7" s="42"/>
      <c r="X7" s="42"/>
      <c r="Y7" s="42"/>
      <c r="Z7" s="32" t="s">
        <v>2295</v>
      </c>
    </row>
    <row r="8" spans="1:28" ht="16.95" customHeight="1" x14ac:dyDescent="0.25">
      <c r="A8" s="34" t="s">
        <v>2318</v>
      </c>
      <c r="B8" s="34">
        <v>0</v>
      </c>
      <c r="C8" s="34" t="s">
        <v>2288</v>
      </c>
      <c r="D8" s="34"/>
      <c r="E8" s="34"/>
      <c r="F8" s="35" t="s">
        <v>2251</v>
      </c>
      <c r="G8" s="34" t="s">
        <v>2309</v>
      </c>
      <c r="H8" s="34" t="s">
        <v>2290</v>
      </c>
      <c r="I8" s="34" t="s">
        <v>2291</v>
      </c>
      <c r="J8" s="34"/>
      <c r="K8" s="53"/>
      <c r="L8" s="54" t="s">
        <v>2292</v>
      </c>
      <c r="M8" s="55" t="s">
        <v>2319</v>
      </c>
      <c r="N8" s="53" t="s">
        <v>2320</v>
      </c>
      <c r="O8" s="34"/>
      <c r="P8" s="34"/>
      <c r="Q8" s="34"/>
      <c r="R8" s="34"/>
      <c r="S8" s="34"/>
      <c r="T8" s="34"/>
      <c r="U8" s="34" t="s">
        <v>1933</v>
      </c>
      <c r="V8" s="34"/>
      <c r="W8" s="34"/>
      <c r="X8" s="34"/>
      <c r="Y8" s="34"/>
      <c r="Z8" s="32" t="s">
        <v>2295</v>
      </c>
    </row>
    <row r="9" spans="1:28" ht="16.95" customHeight="1" x14ac:dyDescent="0.25">
      <c r="A9" s="42" t="s">
        <v>2321</v>
      </c>
      <c r="B9" s="42">
        <v>0</v>
      </c>
      <c r="C9" s="42" t="s">
        <v>2315</v>
      </c>
      <c r="D9" s="42"/>
      <c r="E9" s="42"/>
      <c r="F9" s="43" t="s">
        <v>2251</v>
      </c>
      <c r="G9" s="42" t="s">
        <v>2018</v>
      </c>
      <c r="H9" s="42" t="s">
        <v>2290</v>
      </c>
      <c r="I9" s="42" t="s">
        <v>2291</v>
      </c>
      <c r="J9" s="42"/>
      <c r="K9" s="65"/>
      <c r="L9" s="66" t="s">
        <v>2292</v>
      </c>
      <c r="M9" s="67" t="s">
        <v>2322</v>
      </c>
      <c r="N9" s="65" t="s">
        <v>2323</v>
      </c>
      <c r="O9" s="42"/>
      <c r="P9" s="42"/>
      <c r="Q9" s="42" t="s">
        <v>1933</v>
      </c>
      <c r="R9" s="42"/>
      <c r="S9" s="42"/>
      <c r="T9" s="42" t="s">
        <v>1933</v>
      </c>
      <c r="U9" s="42"/>
      <c r="V9" s="42" t="s">
        <v>1933</v>
      </c>
      <c r="W9" s="42" t="s">
        <v>1933</v>
      </c>
      <c r="X9" s="42"/>
      <c r="Y9" s="42"/>
      <c r="Z9" s="32" t="s">
        <v>2295</v>
      </c>
    </row>
    <row r="10" spans="1:28" ht="16.95" customHeight="1" x14ac:dyDescent="0.25">
      <c r="A10" s="34" t="s">
        <v>2324</v>
      </c>
      <c r="B10" s="34">
        <v>0</v>
      </c>
      <c r="C10" s="34" t="s">
        <v>2288</v>
      </c>
      <c r="D10" s="34"/>
      <c r="E10" s="34"/>
      <c r="F10" s="35" t="s">
        <v>2251</v>
      </c>
      <c r="G10" s="34" t="s">
        <v>2309</v>
      </c>
      <c r="H10" s="34" t="s">
        <v>2290</v>
      </c>
      <c r="I10" s="34" t="s">
        <v>2291</v>
      </c>
      <c r="J10" s="34"/>
      <c r="K10" s="53"/>
      <c r="L10" s="54" t="s">
        <v>2292</v>
      </c>
      <c r="M10" s="55" t="s">
        <v>2325</v>
      </c>
      <c r="N10" s="53" t="s">
        <v>2326</v>
      </c>
      <c r="O10" s="34"/>
      <c r="P10" s="34"/>
      <c r="Q10" s="34"/>
      <c r="R10" s="34"/>
      <c r="S10" s="34"/>
      <c r="T10" s="34" t="s">
        <v>1933</v>
      </c>
      <c r="U10" s="34"/>
      <c r="V10" s="34" t="s">
        <v>1933</v>
      </c>
      <c r="W10" s="34" t="s">
        <v>1933</v>
      </c>
      <c r="X10" s="34"/>
      <c r="Y10" s="34"/>
      <c r="Z10" s="32" t="s">
        <v>2295</v>
      </c>
    </row>
    <row r="11" spans="1:28" ht="16.95" customHeight="1" x14ac:dyDescent="0.25">
      <c r="A11" s="44" t="s">
        <v>2327</v>
      </c>
      <c r="B11" s="44">
        <v>0</v>
      </c>
      <c r="C11" s="44" t="s">
        <v>2328</v>
      </c>
      <c r="D11" s="44"/>
      <c r="E11" s="44" t="s">
        <v>1933</v>
      </c>
      <c r="F11" s="45" t="s">
        <v>2251</v>
      </c>
      <c r="G11" s="44" t="s">
        <v>2329</v>
      </c>
      <c r="H11" s="44"/>
      <c r="I11" s="44" t="s">
        <v>2291</v>
      </c>
      <c r="J11" s="44" t="s">
        <v>2310</v>
      </c>
      <c r="K11" s="68" t="s">
        <v>2330</v>
      </c>
      <c r="L11" s="69" t="s">
        <v>2299</v>
      </c>
      <c r="M11" s="70" t="s">
        <v>2331</v>
      </c>
      <c r="N11" s="68" t="s">
        <v>2332</v>
      </c>
      <c r="O11" s="44" t="s">
        <v>1933</v>
      </c>
      <c r="P11" s="44"/>
      <c r="Q11" s="44"/>
      <c r="R11" s="44"/>
      <c r="S11" s="44"/>
      <c r="T11" s="44" t="s">
        <v>1933</v>
      </c>
      <c r="U11" s="44" t="s">
        <v>1933</v>
      </c>
      <c r="V11" s="44" t="s">
        <v>1933</v>
      </c>
      <c r="W11" s="44"/>
      <c r="X11" s="44"/>
      <c r="Y11" s="44"/>
      <c r="Z11" s="32" t="s">
        <v>2295</v>
      </c>
    </row>
    <row r="12" spans="1:28" ht="16.95" customHeight="1" x14ac:dyDescent="0.25">
      <c r="A12" s="46" t="s">
        <v>2333</v>
      </c>
      <c r="B12" s="46">
        <v>0</v>
      </c>
      <c r="C12" s="46" t="s">
        <v>2334</v>
      </c>
      <c r="D12" s="46"/>
      <c r="E12" s="46" t="s">
        <v>1933</v>
      </c>
      <c r="F12" s="47" t="s">
        <v>2251</v>
      </c>
      <c r="G12" s="46" t="s">
        <v>2304</v>
      </c>
      <c r="H12" s="46" t="s">
        <v>2290</v>
      </c>
      <c r="I12" s="46" t="s">
        <v>2291</v>
      </c>
      <c r="J12" s="46"/>
      <c r="K12" s="71"/>
      <c r="L12" s="72" t="s">
        <v>2299</v>
      </c>
      <c r="M12" s="73" t="s">
        <v>2335</v>
      </c>
      <c r="N12" s="71" t="s">
        <v>2336</v>
      </c>
      <c r="O12" s="46"/>
      <c r="P12" s="46" t="s">
        <v>1933</v>
      </c>
      <c r="Q12" s="46" t="s">
        <v>1933</v>
      </c>
      <c r="R12" s="46"/>
      <c r="S12" s="46"/>
      <c r="T12" s="46"/>
      <c r="U12" s="46"/>
      <c r="V12" s="46"/>
      <c r="W12" s="46" t="s">
        <v>1933</v>
      </c>
      <c r="X12" s="46"/>
      <c r="Y12" s="46"/>
      <c r="Z12" s="32" t="s">
        <v>2295</v>
      </c>
    </row>
    <row r="13" spans="1:28" ht="16.95" customHeight="1" x14ac:dyDescent="0.25">
      <c r="A13" s="34" t="s">
        <v>2337</v>
      </c>
      <c r="B13" s="34">
        <v>0</v>
      </c>
      <c r="C13" s="34" t="s">
        <v>2288</v>
      </c>
      <c r="D13" s="34"/>
      <c r="E13" s="34"/>
      <c r="F13" s="35" t="s">
        <v>2251</v>
      </c>
      <c r="G13" s="34" t="s">
        <v>2304</v>
      </c>
      <c r="H13" s="34" t="s">
        <v>2290</v>
      </c>
      <c r="I13" s="34" t="s">
        <v>2291</v>
      </c>
      <c r="J13" s="34"/>
      <c r="K13" s="53"/>
      <c r="L13" s="54" t="s">
        <v>2338</v>
      </c>
      <c r="M13" s="55" t="s">
        <v>2339</v>
      </c>
      <c r="N13" s="53" t="s">
        <v>2340</v>
      </c>
      <c r="O13" s="34" t="s">
        <v>1933</v>
      </c>
      <c r="P13" s="34" t="s">
        <v>1933</v>
      </c>
      <c r="Q13" s="34"/>
      <c r="R13" s="34"/>
      <c r="S13" s="34"/>
      <c r="T13" s="34" t="s">
        <v>1933</v>
      </c>
      <c r="U13" s="34"/>
      <c r="V13" s="34" t="s">
        <v>1933</v>
      </c>
      <c r="W13" s="34" t="s">
        <v>1933</v>
      </c>
      <c r="X13" s="34"/>
      <c r="Y13" s="34"/>
      <c r="Z13" s="32" t="s">
        <v>2295</v>
      </c>
    </row>
    <row r="14" spans="1:28" ht="16.95" customHeight="1" x14ac:dyDescent="0.25">
      <c r="A14" s="48" t="s">
        <v>2341</v>
      </c>
      <c r="B14" s="48">
        <v>0</v>
      </c>
      <c r="C14" s="48" t="s">
        <v>2342</v>
      </c>
      <c r="D14" s="48"/>
      <c r="E14" s="48"/>
      <c r="F14" s="49" t="s">
        <v>2251</v>
      </c>
      <c r="G14" s="48" t="s">
        <v>2018</v>
      </c>
      <c r="H14" s="48" t="s">
        <v>2290</v>
      </c>
      <c r="I14" s="48" t="s">
        <v>2291</v>
      </c>
      <c r="J14" s="48"/>
      <c r="K14" s="74"/>
      <c r="L14" s="75" t="s">
        <v>2343</v>
      </c>
      <c r="M14" s="76" t="s">
        <v>2344</v>
      </c>
      <c r="N14" s="74" t="s">
        <v>2345</v>
      </c>
      <c r="O14" s="48" t="s">
        <v>1933</v>
      </c>
      <c r="P14" s="48"/>
      <c r="Q14" s="48"/>
      <c r="R14" s="48"/>
      <c r="S14" s="48"/>
      <c r="T14" s="48" t="s">
        <v>1933</v>
      </c>
      <c r="U14" s="48" t="s">
        <v>1933</v>
      </c>
      <c r="V14" s="48" t="s">
        <v>1933</v>
      </c>
      <c r="W14" s="48" t="s">
        <v>1933</v>
      </c>
      <c r="X14" s="48"/>
      <c r="Y14" s="48"/>
      <c r="Z14" s="32" t="s">
        <v>2295</v>
      </c>
    </row>
    <row r="15" spans="1:28" ht="16.95" customHeight="1" x14ac:dyDescent="0.25">
      <c r="A15" s="42" t="s">
        <v>2346</v>
      </c>
      <c r="B15" s="42">
        <v>0</v>
      </c>
      <c r="C15" s="42" t="s">
        <v>2315</v>
      </c>
      <c r="D15" s="42"/>
      <c r="E15" s="42"/>
      <c r="F15" s="43" t="s">
        <v>2343</v>
      </c>
      <c r="G15" s="42" t="s">
        <v>2304</v>
      </c>
      <c r="H15" s="42" t="s">
        <v>2290</v>
      </c>
      <c r="I15" s="42" t="s">
        <v>2291</v>
      </c>
      <c r="J15" s="42" t="s">
        <v>2310</v>
      </c>
      <c r="K15" s="65" t="s">
        <v>2347</v>
      </c>
      <c r="L15" s="66" t="s">
        <v>2292</v>
      </c>
      <c r="M15" s="67" t="s">
        <v>2348</v>
      </c>
      <c r="N15" s="65" t="s">
        <v>2349</v>
      </c>
      <c r="O15" s="42" t="s">
        <v>1933</v>
      </c>
      <c r="P15" s="42" t="s">
        <v>1933</v>
      </c>
      <c r="Q15" s="42" t="s">
        <v>1933</v>
      </c>
      <c r="R15" s="42"/>
      <c r="S15" s="42"/>
      <c r="T15" s="42" t="s">
        <v>1933</v>
      </c>
      <c r="U15" s="42"/>
      <c r="V15" s="42" t="s">
        <v>1933</v>
      </c>
      <c r="W15" s="42" t="s">
        <v>1933</v>
      </c>
      <c r="X15" s="42"/>
      <c r="Y15" s="42"/>
      <c r="Z15" s="32" t="s">
        <v>2295</v>
      </c>
    </row>
    <row r="16" spans="1:28" ht="16.95" customHeight="1" x14ac:dyDescent="0.25">
      <c r="A16" s="42" t="s">
        <v>2350</v>
      </c>
      <c r="B16" s="42">
        <v>0</v>
      </c>
      <c r="C16" s="42" t="s">
        <v>2315</v>
      </c>
      <c r="D16" s="42"/>
      <c r="E16" s="42"/>
      <c r="F16" s="43" t="s">
        <v>2251</v>
      </c>
      <c r="G16" s="42" t="s">
        <v>2309</v>
      </c>
      <c r="H16" s="42"/>
      <c r="I16" s="42" t="s">
        <v>2291</v>
      </c>
      <c r="J16" s="42" t="s">
        <v>2310</v>
      </c>
      <c r="K16" s="65" t="s">
        <v>2351</v>
      </c>
      <c r="L16" s="66" t="s">
        <v>2292</v>
      </c>
      <c r="M16" s="67" t="s">
        <v>2352</v>
      </c>
      <c r="N16" s="65" t="s">
        <v>2353</v>
      </c>
      <c r="O16" s="42" t="s">
        <v>1933</v>
      </c>
      <c r="P16" s="42"/>
      <c r="Q16" s="42" t="s">
        <v>1933</v>
      </c>
      <c r="R16" s="42"/>
      <c r="S16" s="42"/>
      <c r="T16" s="42" t="s">
        <v>1933</v>
      </c>
      <c r="U16" s="42"/>
      <c r="V16" s="42" t="s">
        <v>1933</v>
      </c>
      <c r="W16" s="42" t="s">
        <v>1933</v>
      </c>
      <c r="X16" s="42"/>
      <c r="Y16" s="42"/>
      <c r="Z16" s="32" t="s">
        <v>2295</v>
      </c>
    </row>
    <row r="17" spans="1:26" ht="16.95" customHeight="1" x14ac:dyDescent="0.25">
      <c r="A17" s="44" t="s">
        <v>2354</v>
      </c>
      <c r="B17" s="44">
        <v>0</v>
      </c>
      <c r="C17" s="44" t="s">
        <v>2328</v>
      </c>
      <c r="D17" s="44"/>
      <c r="E17" s="44"/>
      <c r="F17" s="45" t="s">
        <v>2251</v>
      </c>
      <c r="G17" s="44" t="s">
        <v>2289</v>
      </c>
      <c r="H17" s="44" t="s">
        <v>2290</v>
      </c>
      <c r="I17" s="44"/>
      <c r="J17" s="44"/>
      <c r="K17" s="68"/>
      <c r="L17" s="69" t="s">
        <v>2355</v>
      </c>
      <c r="M17" s="70" t="s">
        <v>2356</v>
      </c>
      <c r="N17" s="68" t="s">
        <v>2357</v>
      </c>
      <c r="O17" s="44"/>
      <c r="P17" s="44"/>
      <c r="Q17" s="44"/>
      <c r="R17" s="44"/>
      <c r="S17" s="44"/>
      <c r="T17" s="44" t="s">
        <v>1933</v>
      </c>
      <c r="U17" s="44" t="s">
        <v>1933</v>
      </c>
      <c r="V17" s="44" t="s">
        <v>1933</v>
      </c>
      <c r="W17" s="44"/>
      <c r="X17" s="44"/>
      <c r="Y17" s="44"/>
      <c r="Z17" s="32" t="s">
        <v>2295</v>
      </c>
    </row>
    <row r="18" spans="1:26" ht="16.95" customHeight="1" x14ac:dyDescent="0.25">
      <c r="A18" s="40" t="s">
        <v>2358</v>
      </c>
      <c r="B18" s="40">
        <v>0</v>
      </c>
      <c r="C18" s="40" t="s">
        <v>2308</v>
      </c>
      <c r="D18" s="40"/>
      <c r="E18" s="40"/>
      <c r="F18" s="41" t="s">
        <v>2251</v>
      </c>
      <c r="G18" s="40" t="s">
        <v>2018</v>
      </c>
      <c r="H18" s="40"/>
      <c r="I18" s="40" t="s">
        <v>2291</v>
      </c>
      <c r="J18" s="40" t="s">
        <v>2310</v>
      </c>
      <c r="K18" s="62" t="s">
        <v>2359</v>
      </c>
      <c r="L18" s="63" t="s">
        <v>2343</v>
      </c>
      <c r="M18" s="64" t="s">
        <v>2360</v>
      </c>
      <c r="N18" s="62" t="s">
        <v>2361</v>
      </c>
      <c r="O18" s="40" t="s">
        <v>1933</v>
      </c>
      <c r="P18" s="40"/>
      <c r="Q18" s="40"/>
      <c r="R18" s="40"/>
      <c r="S18" s="40"/>
      <c r="T18" s="40" t="s">
        <v>1933</v>
      </c>
      <c r="U18" s="40" t="s">
        <v>1933</v>
      </c>
      <c r="V18" s="40" t="s">
        <v>1933</v>
      </c>
      <c r="W18" s="40"/>
      <c r="X18" s="40"/>
      <c r="Y18" s="40"/>
      <c r="Z18" s="32" t="s">
        <v>2295</v>
      </c>
    </row>
    <row r="19" spans="1:26" ht="16.95" customHeight="1" x14ac:dyDescent="0.25">
      <c r="A19" s="38" t="s">
        <v>2362</v>
      </c>
      <c r="B19" s="38">
        <v>0</v>
      </c>
      <c r="C19" s="38" t="s">
        <v>2303</v>
      </c>
      <c r="D19" s="38"/>
      <c r="E19" s="38"/>
      <c r="F19" s="39" t="s">
        <v>2251</v>
      </c>
      <c r="G19" s="38" t="s">
        <v>2018</v>
      </c>
      <c r="H19" s="38" t="s">
        <v>2290</v>
      </c>
      <c r="I19" s="38" t="s">
        <v>2291</v>
      </c>
      <c r="J19" s="38"/>
      <c r="K19" s="59"/>
      <c r="L19" s="60" t="s">
        <v>2292</v>
      </c>
      <c r="M19" s="61" t="s">
        <v>2363</v>
      </c>
      <c r="N19" s="59" t="s">
        <v>2364</v>
      </c>
      <c r="O19" s="38"/>
      <c r="P19" s="38"/>
      <c r="Q19" s="38" t="s">
        <v>1933</v>
      </c>
      <c r="R19" s="38"/>
      <c r="S19" s="38"/>
      <c r="T19" s="38" t="s">
        <v>1933</v>
      </c>
      <c r="U19" s="38" t="s">
        <v>1933</v>
      </c>
      <c r="V19" s="38" t="s">
        <v>1933</v>
      </c>
      <c r="W19" s="38" t="s">
        <v>1933</v>
      </c>
      <c r="X19" s="38"/>
      <c r="Y19" s="38"/>
      <c r="Z19" s="32" t="s">
        <v>2295</v>
      </c>
    </row>
    <row r="20" spans="1:26" ht="16.95" customHeight="1" x14ac:dyDescent="0.25">
      <c r="A20" s="42" t="s">
        <v>2365</v>
      </c>
      <c r="B20" s="42">
        <v>0</v>
      </c>
      <c r="C20" s="42" t="s">
        <v>2315</v>
      </c>
      <c r="D20" s="42"/>
      <c r="E20" s="42"/>
      <c r="F20" s="43" t="s">
        <v>2251</v>
      </c>
      <c r="G20" s="42" t="s">
        <v>2329</v>
      </c>
      <c r="H20" s="42" t="s">
        <v>2290</v>
      </c>
      <c r="I20" s="42" t="s">
        <v>2291</v>
      </c>
      <c r="J20" s="42"/>
      <c r="K20" s="65"/>
      <c r="L20" s="66" t="s">
        <v>2366</v>
      </c>
      <c r="M20" s="67" t="s">
        <v>2367</v>
      </c>
      <c r="N20" s="65" t="s">
        <v>2368</v>
      </c>
      <c r="O20" s="42" t="s">
        <v>1933</v>
      </c>
      <c r="P20" s="42"/>
      <c r="Q20" s="42"/>
      <c r="R20" s="42"/>
      <c r="S20" s="42"/>
      <c r="T20" s="42" t="s">
        <v>1933</v>
      </c>
      <c r="U20" s="42" t="s">
        <v>1933</v>
      </c>
      <c r="V20" s="42" t="s">
        <v>1933</v>
      </c>
      <c r="W20" s="42" t="s">
        <v>1933</v>
      </c>
      <c r="X20" s="42"/>
      <c r="Y20" s="42"/>
      <c r="Z20" s="32" t="s">
        <v>2295</v>
      </c>
    </row>
    <row r="21" spans="1:26" ht="16.95" customHeight="1" x14ac:dyDescent="0.25">
      <c r="A21" s="48" t="s">
        <v>2369</v>
      </c>
      <c r="B21" s="48">
        <v>0</v>
      </c>
      <c r="C21" s="48" t="s">
        <v>2342</v>
      </c>
      <c r="D21" s="48"/>
      <c r="E21" s="48"/>
      <c r="F21" s="49" t="s">
        <v>2370</v>
      </c>
      <c r="G21" s="48" t="s">
        <v>2298</v>
      </c>
      <c r="H21" s="48" t="s">
        <v>2290</v>
      </c>
      <c r="I21" s="48" t="s">
        <v>2291</v>
      </c>
      <c r="J21" s="48"/>
      <c r="K21" s="74"/>
      <c r="L21" s="75" t="s">
        <v>2371</v>
      </c>
      <c r="M21" s="76" t="s">
        <v>2372</v>
      </c>
      <c r="N21" s="74" t="s">
        <v>2373</v>
      </c>
      <c r="O21" s="48"/>
      <c r="P21" s="48"/>
      <c r="Q21" s="48" t="s">
        <v>1933</v>
      </c>
      <c r="R21" s="48"/>
      <c r="S21" s="48"/>
      <c r="T21" s="48"/>
      <c r="U21" s="48"/>
      <c r="V21" s="48"/>
      <c r="W21" s="48"/>
      <c r="X21" s="48"/>
      <c r="Y21" s="48"/>
      <c r="Z21" s="32" t="s">
        <v>2295</v>
      </c>
    </row>
    <row r="22" spans="1:26" ht="16.95" customHeight="1" x14ac:dyDescent="0.25">
      <c r="A22" s="34" t="s">
        <v>2374</v>
      </c>
      <c r="B22" s="34">
        <v>0</v>
      </c>
      <c r="C22" s="34" t="s">
        <v>2288</v>
      </c>
      <c r="D22" s="34"/>
      <c r="E22" s="34"/>
      <c r="F22" s="35" t="s">
        <v>2251</v>
      </c>
      <c r="G22" s="34" t="s">
        <v>2289</v>
      </c>
      <c r="H22" s="34" t="s">
        <v>2290</v>
      </c>
      <c r="I22" s="34" t="s">
        <v>2291</v>
      </c>
      <c r="J22" s="34"/>
      <c r="K22" s="53"/>
      <c r="L22" s="54" t="s">
        <v>2292</v>
      </c>
      <c r="M22" s="55" t="s">
        <v>2375</v>
      </c>
      <c r="N22" s="53" t="s">
        <v>2376</v>
      </c>
      <c r="O22" s="34"/>
      <c r="P22" s="34"/>
      <c r="Q22" s="34"/>
      <c r="R22" s="34"/>
      <c r="S22" s="34"/>
      <c r="T22" s="34" t="s">
        <v>1933</v>
      </c>
      <c r="U22" s="34"/>
      <c r="V22" s="34" t="s">
        <v>1933</v>
      </c>
      <c r="W22" s="34" t="s">
        <v>1933</v>
      </c>
      <c r="X22" s="34"/>
      <c r="Y22" s="34"/>
      <c r="Z22" s="32" t="s">
        <v>2295</v>
      </c>
    </row>
    <row r="23" spans="1:26" ht="16.95" customHeight="1" x14ac:dyDescent="0.25">
      <c r="A23" s="36" t="s">
        <v>2377</v>
      </c>
      <c r="B23" s="36">
        <v>0</v>
      </c>
      <c r="C23" s="36" t="s">
        <v>2297</v>
      </c>
      <c r="D23" s="36"/>
      <c r="E23" s="36" t="s">
        <v>1933</v>
      </c>
      <c r="F23" s="37" t="s">
        <v>2251</v>
      </c>
      <c r="G23" s="36" t="s">
        <v>2304</v>
      </c>
      <c r="H23" s="36" t="s">
        <v>2290</v>
      </c>
      <c r="I23" s="36" t="s">
        <v>2291</v>
      </c>
      <c r="J23" s="36"/>
      <c r="K23" s="56"/>
      <c r="L23" s="57" t="s">
        <v>2299</v>
      </c>
      <c r="M23" s="58" t="s">
        <v>2378</v>
      </c>
      <c r="N23" s="56" t="s">
        <v>2379</v>
      </c>
      <c r="O23" s="36"/>
      <c r="P23" s="36" t="s">
        <v>1933</v>
      </c>
      <c r="Q23" s="36" t="s">
        <v>1933</v>
      </c>
      <c r="R23" s="36"/>
      <c r="S23" s="36"/>
      <c r="T23" s="36"/>
      <c r="U23" s="36"/>
      <c r="V23" s="36"/>
      <c r="W23" s="36" t="s">
        <v>1933</v>
      </c>
      <c r="X23" s="36"/>
      <c r="Y23" s="36"/>
      <c r="Z23" s="32" t="s">
        <v>2295</v>
      </c>
    </row>
    <row r="24" spans="1:26" ht="16.95" customHeight="1" x14ac:dyDescent="0.25">
      <c r="A24" s="34" t="s">
        <v>2380</v>
      </c>
      <c r="B24" s="34">
        <v>0</v>
      </c>
      <c r="C24" s="34" t="s">
        <v>2288</v>
      </c>
      <c r="D24" s="34"/>
      <c r="E24" s="34"/>
      <c r="F24" s="35" t="s">
        <v>2251</v>
      </c>
      <c r="G24" s="34" t="s">
        <v>2289</v>
      </c>
      <c r="H24" s="34" t="s">
        <v>2290</v>
      </c>
      <c r="I24" s="34" t="s">
        <v>2291</v>
      </c>
      <c r="J24" s="34"/>
      <c r="K24" s="53"/>
      <c r="L24" s="54" t="s">
        <v>2292</v>
      </c>
      <c r="M24" s="55" t="s">
        <v>2381</v>
      </c>
      <c r="N24" s="53" t="s">
        <v>2382</v>
      </c>
      <c r="O24" s="34"/>
      <c r="P24" s="34" t="s">
        <v>1933</v>
      </c>
      <c r="Q24" s="34"/>
      <c r="R24" s="34"/>
      <c r="S24" s="34"/>
      <c r="T24" s="34"/>
      <c r="U24" s="34"/>
      <c r="V24" s="34"/>
      <c r="W24" s="34"/>
      <c r="X24" s="34"/>
      <c r="Y24" s="34"/>
      <c r="Z24" s="32" t="s">
        <v>2295</v>
      </c>
    </row>
    <row r="25" spans="1:26" ht="16.95" customHeight="1" x14ac:dyDescent="0.25">
      <c r="A25" s="42" t="s">
        <v>2383</v>
      </c>
      <c r="B25" s="42">
        <v>0</v>
      </c>
      <c r="C25" s="42" t="s">
        <v>2315</v>
      </c>
      <c r="D25" s="42"/>
      <c r="E25" s="42"/>
      <c r="F25" s="43" t="s">
        <v>2370</v>
      </c>
      <c r="G25" s="42" t="s">
        <v>2298</v>
      </c>
      <c r="H25" s="42" t="s">
        <v>2290</v>
      </c>
      <c r="I25" s="42" t="s">
        <v>2291</v>
      </c>
      <c r="J25" s="42" t="s">
        <v>2310</v>
      </c>
      <c r="K25" s="65" t="s">
        <v>2384</v>
      </c>
      <c r="L25" s="66" t="s">
        <v>2343</v>
      </c>
      <c r="M25" s="67" t="s">
        <v>2385</v>
      </c>
      <c r="N25" s="65" t="s">
        <v>2386</v>
      </c>
      <c r="O25" s="42"/>
      <c r="P25" s="42"/>
      <c r="Q25" s="42" t="s">
        <v>1933</v>
      </c>
      <c r="R25" s="42"/>
      <c r="S25" s="42"/>
      <c r="T25" s="42"/>
      <c r="U25" s="42"/>
      <c r="V25" s="42"/>
      <c r="W25" s="42"/>
      <c r="X25" s="42"/>
      <c r="Y25" s="42"/>
      <c r="Z25" s="32" t="s">
        <v>2295</v>
      </c>
    </row>
    <row r="26" spans="1:26" ht="16.95" customHeight="1" x14ac:dyDescent="0.25">
      <c r="A26" s="34" t="s">
        <v>2387</v>
      </c>
      <c r="B26" s="34">
        <v>0</v>
      </c>
      <c r="C26" s="34" t="s">
        <v>2288</v>
      </c>
      <c r="D26" s="34"/>
      <c r="E26" s="34"/>
      <c r="F26" s="35" t="s">
        <v>2251</v>
      </c>
      <c r="G26" s="34" t="s">
        <v>2304</v>
      </c>
      <c r="H26" s="34" t="s">
        <v>2290</v>
      </c>
      <c r="I26" s="34" t="s">
        <v>2291</v>
      </c>
      <c r="J26" s="34"/>
      <c r="K26" s="53"/>
      <c r="L26" s="54" t="s">
        <v>2292</v>
      </c>
      <c r="M26" s="55" t="s">
        <v>2388</v>
      </c>
      <c r="N26" s="53" t="s">
        <v>2389</v>
      </c>
      <c r="O26" s="34"/>
      <c r="P26" s="34"/>
      <c r="Q26" s="34"/>
      <c r="R26" s="34"/>
      <c r="S26" s="34"/>
      <c r="T26" s="34" t="s">
        <v>1933</v>
      </c>
      <c r="U26" s="34"/>
      <c r="V26" s="34" t="s">
        <v>1933</v>
      </c>
      <c r="W26" s="34" t="s">
        <v>1933</v>
      </c>
      <c r="X26" s="34"/>
      <c r="Y26" s="34"/>
      <c r="Z26" s="32" t="s">
        <v>2295</v>
      </c>
    </row>
    <row r="27" spans="1:26" ht="16.95" customHeight="1" x14ac:dyDescent="0.25">
      <c r="A27" s="34" t="s">
        <v>2390</v>
      </c>
      <c r="B27" s="34">
        <v>0</v>
      </c>
      <c r="C27" s="34" t="s">
        <v>2288</v>
      </c>
      <c r="D27" s="34"/>
      <c r="E27" s="34"/>
      <c r="F27" s="35" t="s">
        <v>2251</v>
      </c>
      <c r="G27" s="34" t="s">
        <v>2309</v>
      </c>
      <c r="H27" s="34" t="s">
        <v>2290</v>
      </c>
      <c r="I27" s="34" t="s">
        <v>2291</v>
      </c>
      <c r="J27" s="34"/>
      <c r="K27" s="53"/>
      <c r="L27" s="54" t="s">
        <v>2292</v>
      </c>
      <c r="M27" s="55" t="s">
        <v>2391</v>
      </c>
      <c r="N27" s="53" t="s">
        <v>2392</v>
      </c>
      <c r="O27" s="34"/>
      <c r="P27" s="34"/>
      <c r="Q27" s="34"/>
      <c r="R27" s="34"/>
      <c r="S27" s="34"/>
      <c r="T27" s="34" t="s">
        <v>1933</v>
      </c>
      <c r="U27" s="34"/>
      <c r="V27" s="34"/>
      <c r="W27" s="34"/>
      <c r="X27" s="34"/>
      <c r="Y27" s="34"/>
      <c r="Z27" s="32" t="s">
        <v>2295</v>
      </c>
    </row>
    <row r="28" spans="1:26" ht="16.95" customHeight="1" x14ac:dyDescent="0.25">
      <c r="A28" s="38" t="s">
        <v>2393</v>
      </c>
      <c r="B28" s="38">
        <v>0</v>
      </c>
      <c r="C28" s="38" t="s">
        <v>2303</v>
      </c>
      <c r="D28" s="38"/>
      <c r="E28" s="38"/>
      <c r="F28" s="39" t="s">
        <v>2251</v>
      </c>
      <c r="G28" s="38" t="s">
        <v>2394</v>
      </c>
      <c r="H28" s="38" t="s">
        <v>2290</v>
      </c>
      <c r="I28" s="38" t="s">
        <v>2291</v>
      </c>
      <c r="J28" s="38"/>
      <c r="K28" s="59"/>
      <c r="L28" s="60" t="s">
        <v>2292</v>
      </c>
      <c r="M28" s="61" t="s">
        <v>2395</v>
      </c>
      <c r="N28" s="59" t="s">
        <v>2396</v>
      </c>
      <c r="O28" s="38"/>
      <c r="P28" s="38" t="s">
        <v>1933</v>
      </c>
      <c r="Q28" s="38" t="s">
        <v>1933</v>
      </c>
      <c r="R28" s="38"/>
      <c r="S28" s="38"/>
      <c r="T28" s="38"/>
      <c r="U28" s="38"/>
      <c r="V28" s="38"/>
      <c r="W28" s="38" t="s">
        <v>1933</v>
      </c>
      <c r="X28" s="38"/>
      <c r="Y28" s="38"/>
      <c r="Z28" s="32" t="s">
        <v>2295</v>
      </c>
    </row>
    <row r="29" spans="1:26" ht="16.95" customHeight="1" x14ac:dyDescent="0.25">
      <c r="A29" s="34" t="s">
        <v>2397</v>
      </c>
      <c r="B29" s="34">
        <v>0</v>
      </c>
      <c r="C29" s="34" t="s">
        <v>2288</v>
      </c>
      <c r="D29" s="34"/>
      <c r="E29" s="34"/>
      <c r="F29" s="35" t="s">
        <v>2251</v>
      </c>
      <c r="G29" s="34" t="s">
        <v>2289</v>
      </c>
      <c r="H29" s="34" t="s">
        <v>2290</v>
      </c>
      <c r="I29" s="34" t="s">
        <v>2291</v>
      </c>
      <c r="J29" s="34"/>
      <c r="K29" s="53"/>
      <c r="L29" s="54" t="s">
        <v>2292</v>
      </c>
      <c r="M29" s="55" t="s">
        <v>2398</v>
      </c>
      <c r="N29" s="53" t="s">
        <v>2399</v>
      </c>
      <c r="O29" s="34" t="s">
        <v>1933</v>
      </c>
      <c r="P29" s="34"/>
      <c r="Q29" s="34" t="s">
        <v>1933</v>
      </c>
      <c r="R29" s="34"/>
      <c r="S29" s="34"/>
      <c r="T29" s="34"/>
      <c r="U29" s="34"/>
      <c r="V29" s="34"/>
      <c r="W29" s="34"/>
      <c r="X29" s="34"/>
      <c r="Y29" s="34"/>
      <c r="Z29" s="32" t="s">
        <v>2295</v>
      </c>
    </row>
    <row r="30" spans="1:26" ht="16.95" customHeight="1" x14ac:dyDescent="0.25">
      <c r="A30" s="42" t="s">
        <v>2400</v>
      </c>
      <c r="B30" s="42">
        <v>0</v>
      </c>
      <c r="C30" s="42" t="s">
        <v>2315</v>
      </c>
      <c r="D30" s="42"/>
      <c r="E30" s="42"/>
      <c r="F30" s="43" t="s">
        <v>2251</v>
      </c>
      <c r="G30" s="42" t="s">
        <v>2018</v>
      </c>
      <c r="H30" s="42" t="s">
        <v>2290</v>
      </c>
      <c r="I30" s="42"/>
      <c r="J30" s="42"/>
      <c r="K30" s="65"/>
      <c r="L30" s="66" t="s">
        <v>2343</v>
      </c>
      <c r="M30" s="67" t="s">
        <v>2401</v>
      </c>
      <c r="N30" s="65" t="s">
        <v>2402</v>
      </c>
      <c r="O30" s="42"/>
      <c r="P30" s="42" t="s">
        <v>1933</v>
      </c>
      <c r="Q30" s="42"/>
      <c r="R30" s="42"/>
      <c r="S30" s="42"/>
      <c r="T30" s="42"/>
      <c r="U30" s="42"/>
      <c r="V30" s="42"/>
      <c r="W30" s="42"/>
      <c r="X30" s="42"/>
      <c r="Y30" s="42"/>
      <c r="Z30" s="32" t="s">
        <v>2295</v>
      </c>
    </row>
    <row r="31" spans="1:26" ht="16.95" customHeight="1" x14ac:dyDescent="0.25">
      <c r="A31" s="42" t="s">
        <v>2403</v>
      </c>
      <c r="B31" s="42">
        <v>0</v>
      </c>
      <c r="C31" s="42" t="s">
        <v>2315</v>
      </c>
      <c r="D31" s="42"/>
      <c r="E31" s="42"/>
      <c r="F31" s="43" t="s">
        <v>2251</v>
      </c>
      <c r="G31" s="42" t="s">
        <v>2018</v>
      </c>
      <c r="H31" s="42" t="s">
        <v>2290</v>
      </c>
      <c r="I31" s="42" t="s">
        <v>2291</v>
      </c>
      <c r="J31" s="42" t="s">
        <v>2310</v>
      </c>
      <c r="K31" s="65" t="s">
        <v>2404</v>
      </c>
      <c r="L31" s="66" t="s">
        <v>2292</v>
      </c>
      <c r="M31" s="67" t="s">
        <v>2405</v>
      </c>
      <c r="N31" s="65" t="s">
        <v>2406</v>
      </c>
      <c r="O31" s="42"/>
      <c r="P31" s="42"/>
      <c r="Q31" s="42" t="s">
        <v>1933</v>
      </c>
      <c r="R31" s="42"/>
      <c r="S31" s="42"/>
      <c r="T31" s="42"/>
      <c r="U31" s="42"/>
      <c r="V31" s="42"/>
      <c r="W31" s="42" t="s">
        <v>1933</v>
      </c>
      <c r="X31" s="42"/>
      <c r="Y31" s="42"/>
      <c r="Z31" s="32" t="s">
        <v>2295</v>
      </c>
    </row>
    <row r="32" spans="1:26" ht="16.95" customHeight="1" x14ac:dyDescent="0.25">
      <c r="A32" s="34" t="s">
        <v>2407</v>
      </c>
      <c r="B32" s="34">
        <v>0</v>
      </c>
      <c r="C32" s="34" t="s">
        <v>2288</v>
      </c>
      <c r="D32" s="34"/>
      <c r="E32" s="34"/>
      <c r="F32" s="35" t="s">
        <v>2251</v>
      </c>
      <c r="G32" s="34" t="s">
        <v>2298</v>
      </c>
      <c r="H32" s="34"/>
      <c r="I32" s="34" t="s">
        <v>2291</v>
      </c>
      <c r="J32" s="34"/>
      <c r="K32" s="53"/>
      <c r="L32" s="54" t="s">
        <v>2292</v>
      </c>
      <c r="M32" s="55" t="s">
        <v>2408</v>
      </c>
      <c r="N32" s="53" t="s">
        <v>2409</v>
      </c>
      <c r="O32" s="34" t="s">
        <v>1933</v>
      </c>
      <c r="P32" s="34"/>
      <c r="Q32" s="34" t="s">
        <v>1933</v>
      </c>
      <c r="R32" s="34"/>
      <c r="S32" s="34"/>
      <c r="T32" s="34" t="s">
        <v>1933</v>
      </c>
      <c r="U32" s="34" t="s">
        <v>1933</v>
      </c>
      <c r="V32" s="34" t="s">
        <v>1933</v>
      </c>
      <c r="W32" s="34" t="s">
        <v>1933</v>
      </c>
      <c r="X32" s="34"/>
      <c r="Y32" s="34"/>
      <c r="Z32" s="32" t="s">
        <v>2295</v>
      </c>
    </row>
    <row r="33" spans="1:26" ht="16.95" customHeight="1" x14ac:dyDescent="0.25">
      <c r="A33" s="38" t="s">
        <v>2410</v>
      </c>
      <c r="B33" s="38">
        <v>0</v>
      </c>
      <c r="C33" s="38" t="s">
        <v>2303</v>
      </c>
      <c r="D33" s="38"/>
      <c r="E33" s="38"/>
      <c r="F33" s="39" t="s">
        <v>2251</v>
      </c>
      <c r="G33" s="38" t="s">
        <v>2289</v>
      </c>
      <c r="H33" s="38" t="s">
        <v>2290</v>
      </c>
      <c r="I33" s="38" t="s">
        <v>2291</v>
      </c>
      <c r="J33" s="38"/>
      <c r="K33" s="59"/>
      <c r="L33" s="60" t="s">
        <v>2292</v>
      </c>
      <c r="M33" s="61" t="s">
        <v>2411</v>
      </c>
      <c r="N33" s="59" t="s">
        <v>2412</v>
      </c>
      <c r="O33" s="38"/>
      <c r="P33" s="38" t="s">
        <v>1933</v>
      </c>
      <c r="Q33" s="38"/>
      <c r="R33" s="38"/>
      <c r="S33" s="38"/>
      <c r="T33" s="38"/>
      <c r="U33" s="38" t="s">
        <v>1933</v>
      </c>
      <c r="V33" s="38" t="s">
        <v>1933</v>
      </c>
      <c r="W33" s="38"/>
      <c r="X33" s="38"/>
      <c r="Y33" s="38"/>
      <c r="Z33" s="32" t="s">
        <v>2295</v>
      </c>
    </row>
    <row r="34" spans="1:26" ht="16.95" customHeight="1" x14ac:dyDescent="0.25">
      <c r="A34" s="46" t="s">
        <v>2413</v>
      </c>
      <c r="B34" s="46">
        <v>0</v>
      </c>
      <c r="C34" s="46" t="s">
        <v>2334</v>
      </c>
      <c r="D34" s="46"/>
      <c r="E34" s="46"/>
      <c r="F34" s="47" t="s">
        <v>2251</v>
      </c>
      <c r="G34" s="46" t="s">
        <v>2298</v>
      </c>
      <c r="H34" s="46"/>
      <c r="I34" s="46" t="s">
        <v>2291</v>
      </c>
      <c r="J34" s="46" t="s">
        <v>2310</v>
      </c>
      <c r="K34" s="71" t="s">
        <v>2414</v>
      </c>
      <c r="L34" s="72" t="s">
        <v>2292</v>
      </c>
      <c r="M34" s="73" t="s">
        <v>2415</v>
      </c>
      <c r="N34" s="71" t="s">
        <v>2416</v>
      </c>
      <c r="O34" s="46" t="s">
        <v>1933</v>
      </c>
      <c r="P34" s="46"/>
      <c r="Q34" s="46"/>
      <c r="R34" s="46"/>
      <c r="S34" s="46"/>
      <c r="T34" s="46" t="s">
        <v>1933</v>
      </c>
      <c r="U34" s="46" t="s">
        <v>1933</v>
      </c>
      <c r="V34" s="46" t="s">
        <v>1933</v>
      </c>
      <c r="W34" s="46" t="s">
        <v>1933</v>
      </c>
      <c r="X34" s="46"/>
      <c r="Y34" s="46"/>
      <c r="Z34" s="32" t="s">
        <v>2295</v>
      </c>
    </row>
    <row r="35" spans="1:26" ht="16.95" customHeight="1" x14ac:dyDescent="0.25">
      <c r="A35" s="44" t="s">
        <v>2417</v>
      </c>
      <c r="B35" s="44">
        <v>0</v>
      </c>
      <c r="C35" s="44" t="s">
        <v>2328</v>
      </c>
      <c r="D35" s="44"/>
      <c r="E35" s="44"/>
      <c r="F35" s="45" t="s">
        <v>2251</v>
      </c>
      <c r="G35" s="44" t="s">
        <v>2289</v>
      </c>
      <c r="H35" s="44" t="s">
        <v>2290</v>
      </c>
      <c r="I35" s="44"/>
      <c r="J35" s="44"/>
      <c r="K35" s="68"/>
      <c r="L35" s="69" t="s">
        <v>2292</v>
      </c>
      <c r="M35" s="70" t="s">
        <v>2418</v>
      </c>
      <c r="N35" s="68" t="s">
        <v>2419</v>
      </c>
      <c r="O35" s="44" t="s">
        <v>1933</v>
      </c>
      <c r="P35" s="44"/>
      <c r="Q35" s="44"/>
      <c r="R35" s="44"/>
      <c r="S35" s="44"/>
      <c r="T35" s="44"/>
      <c r="U35" s="44"/>
      <c r="V35" s="44"/>
      <c r="W35" s="44"/>
      <c r="X35" s="44"/>
      <c r="Y35" s="44"/>
      <c r="Z35" s="32" t="s">
        <v>2295</v>
      </c>
    </row>
    <row r="36" spans="1:26" ht="16.95" customHeight="1" x14ac:dyDescent="0.25">
      <c r="A36" s="34" t="s">
        <v>2420</v>
      </c>
      <c r="B36" s="34">
        <v>0</v>
      </c>
      <c r="C36" s="34" t="s">
        <v>2288</v>
      </c>
      <c r="D36" s="34"/>
      <c r="E36" s="34"/>
      <c r="F36" s="35" t="s">
        <v>2251</v>
      </c>
      <c r="G36" s="34" t="s">
        <v>2298</v>
      </c>
      <c r="H36" s="34" t="s">
        <v>2290</v>
      </c>
      <c r="I36" s="34"/>
      <c r="J36" s="34" t="s">
        <v>2310</v>
      </c>
      <c r="K36" s="53" t="s">
        <v>2421</v>
      </c>
      <c r="L36" s="54" t="s">
        <v>2292</v>
      </c>
      <c r="M36" s="55" t="s">
        <v>2422</v>
      </c>
      <c r="N36" s="53" t="s">
        <v>2423</v>
      </c>
      <c r="O36" s="34"/>
      <c r="P36" s="34" t="s">
        <v>1933</v>
      </c>
      <c r="Q36" s="34"/>
      <c r="R36" s="34"/>
      <c r="S36" s="34"/>
      <c r="T36" s="34"/>
      <c r="U36" s="34"/>
      <c r="V36" s="34"/>
      <c r="W36" s="34"/>
      <c r="X36" s="34"/>
      <c r="Y36" s="34"/>
      <c r="Z36" s="32" t="s">
        <v>2295</v>
      </c>
    </row>
    <row r="37" spans="1:26" ht="16.95" customHeight="1" x14ac:dyDescent="0.25">
      <c r="A37" s="36" t="s">
        <v>2424</v>
      </c>
      <c r="B37" s="36">
        <v>1</v>
      </c>
      <c r="C37" s="36" t="s">
        <v>2297</v>
      </c>
      <c r="D37" s="36" t="s">
        <v>1933</v>
      </c>
      <c r="E37" s="36"/>
      <c r="F37" s="37" t="s">
        <v>2425</v>
      </c>
      <c r="G37" s="36" t="s">
        <v>2018</v>
      </c>
      <c r="H37" s="36" t="s">
        <v>2290</v>
      </c>
      <c r="I37" s="36" t="s">
        <v>2291</v>
      </c>
      <c r="J37" s="36" t="s">
        <v>2310</v>
      </c>
      <c r="K37" s="56" t="s">
        <v>2426</v>
      </c>
      <c r="L37" s="57" t="s">
        <v>2427</v>
      </c>
      <c r="M37" s="58" t="s">
        <v>2428</v>
      </c>
      <c r="N37" s="56" t="s">
        <v>2429</v>
      </c>
      <c r="O37" s="36"/>
      <c r="P37" s="36"/>
      <c r="Q37" s="36"/>
      <c r="R37" s="36"/>
      <c r="S37" s="36" t="s">
        <v>1933</v>
      </c>
      <c r="T37" s="36"/>
      <c r="U37" s="36"/>
      <c r="V37" s="36" t="s">
        <v>1933</v>
      </c>
      <c r="W37" s="36" t="s">
        <v>1933</v>
      </c>
      <c r="X37" s="36"/>
      <c r="Y37" s="36"/>
      <c r="Z37" s="32" t="s">
        <v>2295</v>
      </c>
    </row>
    <row r="38" spans="1:26" ht="16.95" customHeight="1" x14ac:dyDescent="0.25">
      <c r="A38" s="44" t="s">
        <v>2430</v>
      </c>
      <c r="B38" s="44">
        <v>1</v>
      </c>
      <c r="C38" s="44" t="s">
        <v>2328</v>
      </c>
      <c r="D38" s="44"/>
      <c r="E38" s="44"/>
      <c r="F38" s="45" t="s">
        <v>2251</v>
      </c>
      <c r="G38" s="44" t="s">
        <v>2018</v>
      </c>
      <c r="H38" s="44" t="s">
        <v>2290</v>
      </c>
      <c r="I38" s="44" t="s">
        <v>2291</v>
      </c>
      <c r="J38" s="44" t="s">
        <v>2310</v>
      </c>
      <c r="K38" s="68" t="s">
        <v>2431</v>
      </c>
      <c r="L38" s="69" t="s">
        <v>2432</v>
      </c>
      <c r="M38" s="70" t="s">
        <v>2433</v>
      </c>
      <c r="N38" s="68" t="s">
        <v>2434</v>
      </c>
      <c r="O38" s="44" t="s">
        <v>1933</v>
      </c>
      <c r="P38" s="44"/>
      <c r="Q38" s="44" t="s">
        <v>1933</v>
      </c>
      <c r="R38" s="44"/>
      <c r="S38" s="44" t="s">
        <v>1933</v>
      </c>
      <c r="T38" s="44"/>
      <c r="U38" s="44"/>
      <c r="V38" s="44"/>
      <c r="W38" s="44"/>
      <c r="X38" s="44"/>
      <c r="Y38" s="44"/>
      <c r="Z38" s="32" t="s">
        <v>2295</v>
      </c>
    </row>
    <row r="39" spans="1:26" ht="16.95" customHeight="1" x14ac:dyDescent="0.25">
      <c r="A39" s="36" t="s">
        <v>2435</v>
      </c>
      <c r="B39" s="36">
        <v>1</v>
      </c>
      <c r="C39" s="36" t="s">
        <v>2297</v>
      </c>
      <c r="D39" s="36"/>
      <c r="E39" s="36"/>
      <c r="F39" s="37" t="s">
        <v>2370</v>
      </c>
      <c r="G39" s="36" t="s">
        <v>2298</v>
      </c>
      <c r="H39" s="36" t="s">
        <v>2290</v>
      </c>
      <c r="I39" s="36" t="s">
        <v>2291</v>
      </c>
      <c r="J39" s="36" t="s">
        <v>2310</v>
      </c>
      <c r="K39" s="56" t="s">
        <v>2436</v>
      </c>
      <c r="L39" s="57" t="s">
        <v>2338</v>
      </c>
      <c r="M39" s="58" t="s">
        <v>2437</v>
      </c>
      <c r="N39" s="56" t="s">
        <v>2438</v>
      </c>
      <c r="O39" s="36"/>
      <c r="P39" s="36"/>
      <c r="Q39" s="36"/>
      <c r="R39" s="36"/>
      <c r="S39" s="36"/>
      <c r="T39" s="36"/>
      <c r="U39" s="36" t="s">
        <v>1933</v>
      </c>
      <c r="V39" s="36"/>
      <c r="W39" s="36"/>
      <c r="X39" s="36"/>
      <c r="Y39" s="36"/>
      <c r="Z39" s="32" t="s">
        <v>2295</v>
      </c>
    </row>
    <row r="40" spans="1:26" ht="16.95" customHeight="1" x14ac:dyDescent="0.25">
      <c r="A40" s="48" t="s">
        <v>2439</v>
      </c>
      <c r="B40" s="48">
        <v>1</v>
      </c>
      <c r="C40" s="48" t="s">
        <v>2342</v>
      </c>
      <c r="D40" s="48"/>
      <c r="E40" s="48"/>
      <c r="F40" s="49" t="s">
        <v>2251</v>
      </c>
      <c r="G40" s="48" t="s">
        <v>2298</v>
      </c>
      <c r="H40" s="48" t="s">
        <v>2290</v>
      </c>
      <c r="I40" s="48" t="s">
        <v>2291</v>
      </c>
      <c r="J40" s="48"/>
      <c r="K40" s="74"/>
      <c r="L40" s="75" t="s">
        <v>2292</v>
      </c>
      <c r="M40" s="76" t="s">
        <v>2440</v>
      </c>
      <c r="N40" s="74" t="s">
        <v>2441</v>
      </c>
      <c r="O40" s="48"/>
      <c r="P40" s="48"/>
      <c r="Q40" s="48"/>
      <c r="R40" s="48"/>
      <c r="S40" s="48"/>
      <c r="T40" s="48"/>
      <c r="U40" s="48" t="s">
        <v>1933</v>
      </c>
      <c r="V40" s="48"/>
      <c r="W40" s="48"/>
      <c r="X40" s="48"/>
      <c r="Y40" s="48"/>
      <c r="Z40" s="32" t="s">
        <v>2295</v>
      </c>
    </row>
    <row r="41" spans="1:26" ht="16.95" customHeight="1" x14ac:dyDescent="0.25">
      <c r="A41" s="44" t="s">
        <v>2442</v>
      </c>
      <c r="B41" s="44">
        <v>1</v>
      </c>
      <c r="C41" s="44" t="s">
        <v>2328</v>
      </c>
      <c r="D41" s="44"/>
      <c r="E41" s="44" t="s">
        <v>1933</v>
      </c>
      <c r="F41" s="45" t="s">
        <v>2251</v>
      </c>
      <c r="G41" s="44" t="s">
        <v>2018</v>
      </c>
      <c r="H41" s="44" t="s">
        <v>2290</v>
      </c>
      <c r="I41" s="44" t="s">
        <v>2291</v>
      </c>
      <c r="J41" s="44" t="s">
        <v>2310</v>
      </c>
      <c r="K41" s="68" t="s">
        <v>2443</v>
      </c>
      <c r="L41" s="69" t="s">
        <v>2299</v>
      </c>
      <c r="M41" s="70" t="s">
        <v>2444</v>
      </c>
      <c r="N41" s="68" t="s">
        <v>2445</v>
      </c>
      <c r="O41" s="44" t="s">
        <v>1933</v>
      </c>
      <c r="P41" s="44" t="s">
        <v>1933</v>
      </c>
      <c r="Q41" s="44"/>
      <c r="R41" s="44"/>
      <c r="S41" s="44"/>
      <c r="T41" s="44"/>
      <c r="U41" s="44" t="s">
        <v>1933</v>
      </c>
      <c r="V41" s="44"/>
      <c r="W41" s="44"/>
      <c r="X41" s="44"/>
      <c r="Y41" s="44"/>
      <c r="Z41" s="32" t="s">
        <v>2295</v>
      </c>
    </row>
    <row r="42" spans="1:26" ht="16.95" customHeight="1" x14ac:dyDescent="0.25">
      <c r="A42" s="44" t="s">
        <v>2446</v>
      </c>
      <c r="B42" s="44">
        <v>1</v>
      </c>
      <c r="C42" s="44" t="s">
        <v>2328</v>
      </c>
      <c r="D42" s="44"/>
      <c r="E42" s="44" t="s">
        <v>1933</v>
      </c>
      <c r="F42" s="45" t="s">
        <v>2251</v>
      </c>
      <c r="G42" s="44" t="s">
        <v>2018</v>
      </c>
      <c r="H42" s="44" t="s">
        <v>2290</v>
      </c>
      <c r="I42" s="44" t="s">
        <v>2291</v>
      </c>
      <c r="J42" s="44" t="s">
        <v>2310</v>
      </c>
      <c r="K42" s="68" t="s">
        <v>2447</v>
      </c>
      <c r="L42" s="69" t="s">
        <v>2299</v>
      </c>
      <c r="M42" s="70" t="s">
        <v>2448</v>
      </c>
      <c r="N42" s="68" t="s">
        <v>2449</v>
      </c>
      <c r="O42" s="44"/>
      <c r="P42" s="44" t="s">
        <v>1933</v>
      </c>
      <c r="Q42" s="44"/>
      <c r="R42" s="44" t="s">
        <v>1933</v>
      </c>
      <c r="S42" s="44"/>
      <c r="T42" s="44"/>
      <c r="U42" s="44"/>
      <c r="V42" s="44"/>
      <c r="W42" s="44"/>
      <c r="X42" s="44"/>
      <c r="Y42" s="44"/>
      <c r="Z42" s="32" t="s">
        <v>2295</v>
      </c>
    </row>
    <row r="43" spans="1:26" ht="16.95" customHeight="1" x14ac:dyDescent="0.25">
      <c r="A43" s="34" t="s">
        <v>2450</v>
      </c>
      <c r="B43" s="34">
        <v>1</v>
      </c>
      <c r="C43" s="34" t="s">
        <v>2288</v>
      </c>
      <c r="D43" s="34"/>
      <c r="E43" s="34"/>
      <c r="F43" s="35" t="s">
        <v>2251</v>
      </c>
      <c r="G43" s="34" t="s">
        <v>2298</v>
      </c>
      <c r="H43" s="34" t="s">
        <v>2290</v>
      </c>
      <c r="I43" s="34" t="s">
        <v>2291</v>
      </c>
      <c r="J43" s="34"/>
      <c r="K43" s="53"/>
      <c r="L43" s="54" t="s">
        <v>2292</v>
      </c>
      <c r="M43" s="55" t="s">
        <v>2451</v>
      </c>
      <c r="N43" s="53" t="s">
        <v>2452</v>
      </c>
      <c r="O43" s="34"/>
      <c r="P43" s="34"/>
      <c r="Q43" s="34"/>
      <c r="R43" s="34"/>
      <c r="S43" s="34"/>
      <c r="T43" s="34" t="s">
        <v>1933</v>
      </c>
      <c r="U43" s="34"/>
      <c r="V43" s="34" t="s">
        <v>1933</v>
      </c>
      <c r="W43" s="34"/>
      <c r="X43" s="34"/>
      <c r="Y43" s="34"/>
      <c r="Z43" s="32" t="s">
        <v>2295</v>
      </c>
    </row>
    <row r="44" spans="1:26" ht="16.95" customHeight="1" x14ac:dyDescent="0.25">
      <c r="A44" s="44" t="s">
        <v>2453</v>
      </c>
      <c r="B44" s="44">
        <v>1</v>
      </c>
      <c r="C44" s="44" t="s">
        <v>2328</v>
      </c>
      <c r="D44" s="44"/>
      <c r="E44" s="44"/>
      <c r="F44" s="45" t="s">
        <v>2251</v>
      </c>
      <c r="G44" s="44" t="s">
        <v>2018</v>
      </c>
      <c r="H44" s="44" t="s">
        <v>2290</v>
      </c>
      <c r="I44" s="44" t="s">
        <v>2291</v>
      </c>
      <c r="J44" s="44"/>
      <c r="K44" s="68"/>
      <c r="L44" s="69" t="s">
        <v>2338</v>
      </c>
      <c r="M44" s="70" t="s">
        <v>2454</v>
      </c>
      <c r="N44" s="68" t="s">
        <v>2455</v>
      </c>
      <c r="O44" s="44" t="s">
        <v>1933</v>
      </c>
      <c r="P44" s="44"/>
      <c r="Q44" s="44" t="s">
        <v>1933</v>
      </c>
      <c r="R44" s="44"/>
      <c r="S44" s="44"/>
      <c r="T44" s="44" t="s">
        <v>1933</v>
      </c>
      <c r="U44" s="44" t="s">
        <v>1933</v>
      </c>
      <c r="V44" s="44" t="s">
        <v>1933</v>
      </c>
      <c r="W44" s="44"/>
      <c r="X44" s="44"/>
      <c r="Y44" s="44"/>
      <c r="Z44" s="32" t="s">
        <v>2295</v>
      </c>
    </row>
    <row r="45" spans="1:26" ht="16.95" customHeight="1" x14ac:dyDescent="0.25">
      <c r="A45" s="34" t="s">
        <v>2456</v>
      </c>
      <c r="B45" s="34">
        <v>1</v>
      </c>
      <c r="C45" s="34" t="s">
        <v>2288</v>
      </c>
      <c r="D45" s="34"/>
      <c r="E45" s="34"/>
      <c r="F45" s="35" t="s">
        <v>2251</v>
      </c>
      <c r="G45" s="34" t="s">
        <v>2457</v>
      </c>
      <c r="H45" s="34" t="s">
        <v>2290</v>
      </c>
      <c r="I45" s="34" t="s">
        <v>2291</v>
      </c>
      <c r="J45" s="34" t="s">
        <v>2310</v>
      </c>
      <c r="K45" s="53" t="s">
        <v>2458</v>
      </c>
      <c r="L45" s="54" t="s">
        <v>2292</v>
      </c>
      <c r="M45" s="55" t="s">
        <v>2459</v>
      </c>
      <c r="N45" s="53" t="s">
        <v>2460</v>
      </c>
      <c r="O45" s="34"/>
      <c r="P45" s="34"/>
      <c r="Q45" s="34"/>
      <c r="R45" s="34"/>
      <c r="S45" s="34"/>
      <c r="T45" s="34" t="s">
        <v>1933</v>
      </c>
      <c r="U45" s="34"/>
      <c r="V45" s="34" t="s">
        <v>1933</v>
      </c>
      <c r="W45" s="34"/>
      <c r="X45" s="34"/>
      <c r="Y45" s="34"/>
      <c r="Z45" s="32" t="s">
        <v>2295</v>
      </c>
    </row>
    <row r="46" spans="1:26" ht="16.95" customHeight="1" x14ac:dyDescent="0.25">
      <c r="A46" s="40" t="s">
        <v>2461</v>
      </c>
      <c r="B46" s="40">
        <v>1</v>
      </c>
      <c r="C46" s="40" t="s">
        <v>2308</v>
      </c>
      <c r="D46" s="40"/>
      <c r="E46" s="40"/>
      <c r="F46" s="41" t="s">
        <v>2251</v>
      </c>
      <c r="G46" s="40" t="s">
        <v>2298</v>
      </c>
      <c r="H46" s="40" t="s">
        <v>2290</v>
      </c>
      <c r="I46" s="40" t="s">
        <v>2291</v>
      </c>
      <c r="J46" s="40" t="s">
        <v>2310</v>
      </c>
      <c r="K46" s="62" t="s">
        <v>2462</v>
      </c>
      <c r="L46" s="63" t="s">
        <v>2292</v>
      </c>
      <c r="M46" s="64" t="s">
        <v>2463</v>
      </c>
      <c r="N46" s="62" t="s">
        <v>2464</v>
      </c>
      <c r="O46" s="40" t="s">
        <v>1933</v>
      </c>
      <c r="P46" s="40"/>
      <c r="Q46" s="40"/>
      <c r="R46" s="40"/>
      <c r="S46" s="40"/>
      <c r="T46" s="40" t="s">
        <v>1933</v>
      </c>
      <c r="U46" s="40"/>
      <c r="V46" s="40" t="s">
        <v>1933</v>
      </c>
      <c r="W46" s="40"/>
      <c r="X46" s="40"/>
      <c r="Y46" s="40"/>
      <c r="Z46" s="32" t="s">
        <v>2295</v>
      </c>
    </row>
    <row r="47" spans="1:26" ht="16.95" customHeight="1" x14ac:dyDescent="0.25">
      <c r="A47" s="44" t="s">
        <v>2465</v>
      </c>
      <c r="B47" s="44">
        <v>1</v>
      </c>
      <c r="C47" s="44" t="s">
        <v>2328</v>
      </c>
      <c r="D47" s="44"/>
      <c r="E47" s="44"/>
      <c r="F47" s="45" t="s">
        <v>2251</v>
      </c>
      <c r="G47" s="44" t="s">
        <v>2289</v>
      </c>
      <c r="H47" s="44" t="s">
        <v>2290</v>
      </c>
      <c r="I47" s="44"/>
      <c r="J47" s="44"/>
      <c r="K47" s="68"/>
      <c r="L47" s="69" t="s">
        <v>2292</v>
      </c>
      <c r="M47" s="70" t="s">
        <v>2466</v>
      </c>
      <c r="N47" s="68" t="s">
        <v>2467</v>
      </c>
      <c r="O47" s="44" t="s">
        <v>1933</v>
      </c>
      <c r="P47" s="44" t="s">
        <v>1933</v>
      </c>
      <c r="Q47" s="44"/>
      <c r="R47" s="44" t="s">
        <v>1933</v>
      </c>
      <c r="S47" s="44"/>
      <c r="T47" s="44"/>
      <c r="U47" s="44"/>
      <c r="V47" s="44"/>
      <c r="W47" s="44"/>
      <c r="X47" s="44"/>
      <c r="Y47" s="44"/>
      <c r="Z47" s="32" t="s">
        <v>2295</v>
      </c>
    </row>
    <row r="48" spans="1:26" ht="16.95" customHeight="1" x14ac:dyDescent="0.25">
      <c r="A48" s="44" t="s">
        <v>2468</v>
      </c>
      <c r="B48" s="44">
        <v>1</v>
      </c>
      <c r="C48" s="44" t="s">
        <v>2328</v>
      </c>
      <c r="D48" s="44"/>
      <c r="E48" s="44" t="s">
        <v>1933</v>
      </c>
      <c r="F48" s="45" t="s">
        <v>2370</v>
      </c>
      <c r="G48" s="44" t="s">
        <v>2018</v>
      </c>
      <c r="H48" s="44" t="s">
        <v>2290</v>
      </c>
      <c r="I48" s="44"/>
      <c r="J48" s="44"/>
      <c r="K48" s="68"/>
      <c r="L48" s="69" t="s">
        <v>2299</v>
      </c>
      <c r="M48" s="70" t="s">
        <v>2469</v>
      </c>
      <c r="N48" s="68" t="s">
        <v>2470</v>
      </c>
      <c r="O48" s="44"/>
      <c r="P48" s="44"/>
      <c r="Q48" s="44"/>
      <c r="R48" s="44" t="s">
        <v>1933</v>
      </c>
      <c r="S48" s="44"/>
      <c r="T48" s="44"/>
      <c r="U48" s="44"/>
      <c r="V48" s="44"/>
      <c r="W48" s="44"/>
      <c r="X48" s="44"/>
      <c r="Y48" s="44"/>
      <c r="Z48" s="32" t="s">
        <v>2295</v>
      </c>
    </row>
    <row r="49" spans="1:26" ht="16.95" customHeight="1" x14ac:dyDescent="0.25">
      <c r="A49" s="46" t="s">
        <v>2471</v>
      </c>
      <c r="B49" s="46">
        <v>1</v>
      </c>
      <c r="C49" s="46" t="s">
        <v>2334</v>
      </c>
      <c r="D49" s="46" t="s">
        <v>1933</v>
      </c>
      <c r="E49" s="46"/>
      <c r="F49" s="47" t="s">
        <v>2472</v>
      </c>
      <c r="G49" s="46" t="s">
        <v>2298</v>
      </c>
      <c r="H49" s="46" t="s">
        <v>2290</v>
      </c>
      <c r="I49" s="46" t="s">
        <v>2291</v>
      </c>
      <c r="J49" s="46" t="s">
        <v>2310</v>
      </c>
      <c r="K49" s="71" t="s">
        <v>2473</v>
      </c>
      <c r="L49" s="72" t="s">
        <v>2338</v>
      </c>
      <c r="M49" s="73" t="s">
        <v>2474</v>
      </c>
      <c r="N49" s="71" t="s">
        <v>2475</v>
      </c>
      <c r="O49" s="46" t="s">
        <v>1933</v>
      </c>
      <c r="P49" s="46"/>
      <c r="Q49" s="46"/>
      <c r="R49" s="46"/>
      <c r="S49" s="46"/>
      <c r="T49" s="46" t="s">
        <v>1933</v>
      </c>
      <c r="U49" s="46" t="s">
        <v>1933</v>
      </c>
      <c r="V49" s="46" t="s">
        <v>1933</v>
      </c>
      <c r="W49" s="46"/>
      <c r="X49" s="46"/>
      <c r="Y49" s="46"/>
      <c r="Z49" s="32" t="s">
        <v>2295</v>
      </c>
    </row>
    <row r="50" spans="1:26" ht="16.95" customHeight="1" x14ac:dyDescent="0.25">
      <c r="A50" s="42" t="s">
        <v>2476</v>
      </c>
      <c r="B50" s="42">
        <v>1</v>
      </c>
      <c r="C50" s="42" t="s">
        <v>2315</v>
      </c>
      <c r="D50" s="42"/>
      <c r="E50" s="42"/>
      <c r="F50" s="43" t="s">
        <v>2251</v>
      </c>
      <c r="G50" s="42" t="s">
        <v>2018</v>
      </c>
      <c r="H50" s="42" t="s">
        <v>2290</v>
      </c>
      <c r="I50" s="42" t="s">
        <v>2291</v>
      </c>
      <c r="J50" s="42" t="s">
        <v>2310</v>
      </c>
      <c r="K50" s="65" t="s">
        <v>2477</v>
      </c>
      <c r="L50" s="66" t="s">
        <v>2292</v>
      </c>
      <c r="M50" s="67" t="s">
        <v>2478</v>
      </c>
      <c r="N50" s="65" t="s">
        <v>2479</v>
      </c>
      <c r="O50" s="42"/>
      <c r="P50" s="42" t="s">
        <v>1933</v>
      </c>
      <c r="Q50" s="42" t="s">
        <v>1933</v>
      </c>
      <c r="R50" s="42"/>
      <c r="S50" s="42"/>
      <c r="T50" s="42"/>
      <c r="U50" s="42"/>
      <c r="V50" s="42"/>
      <c r="W50" s="42"/>
      <c r="X50" s="42"/>
      <c r="Y50" s="42"/>
      <c r="Z50" s="32" t="s">
        <v>2295</v>
      </c>
    </row>
    <row r="51" spans="1:26" ht="16.95" customHeight="1" x14ac:dyDescent="0.25">
      <c r="A51" s="36" t="s">
        <v>2480</v>
      </c>
      <c r="B51" s="36">
        <v>1</v>
      </c>
      <c r="C51" s="36" t="s">
        <v>2297</v>
      </c>
      <c r="D51" s="36"/>
      <c r="E51" s="36"/>
      <c r="F51" s="37" t="s">
        <v>2251</v>
      </c>
      <c r="G51" s="36" t="s">
        <v>2304</v>
      </c>
      <c r="H51" s="36" t="s">
        <v>2290</v>
      </c>
      <c r="I51" s="36" t="s">
        <v>2291</v>
      </c>
      <c r="J51" s="36"/>
      <c r="K51" s="56"/>
      <c r="L51" s="57" t="s">
        <v>2292</v>
      </c>
      <c r="M51" s="58" t="s">
        <v>2481</v>
      </c>
      <c r="N51" s="56" t="s">
        <v>2482</v>
      </c>
      <c r="O51" s="36" t="s">
        <v>1933</v>
      </c>
      <c r="P51" s="36" t="s">
        <v>1933</v>
      </c>
      <c r="Q51" s="36" t="s">
        <v>1933</v>
      </c>
      <c r="R51" s="36" t="s">
        <v>1933</v>
      </c>
      <c r="S51" s="36" t="s">
        <v>1933</v>
      </c>
      <c r="T51" s="36"/>
      <c r="U51" s="36"/>
      <c r="V51" s="36"/>
      <c r="W51" s="36" t="s">
        <v>1933</v>
      </c>
      <c r="X51" s="36"/>
      <c r="Y51" s="36"/>
      <c r="Z51" s="32" t="s">
        <v>2295</v>
      </c>
    </row>
    <row r="52" spans="1:26" ht="16.95" customHeight="1" x14ac:dyDescent="0.25">
      <c r="A52" s="46" t="s">
        <v>2483</v>
      </c>
      <c r="B52" s="46">
        <v>1</v>
      </c>
      <c r="C52" s="46" t="s">
        <v>2334</v>
      </c>
      <c r="D52" s="46"/>
      <c r="E52" s="46" t="s">
        <v>1933</v>
      </c>
      <c r="F52" s="47" t="s">
        <v>2251</v>
      </c>
      <c r="G52" s="46" t="s">
        <v>2298</v>
      </c>
      <c r="H52" s="46" t="s">
        <v>2290</v>
      </c>
      <c r="I52" s="46" t="s">
        <v>2291</v>
      </c>
      <c r="J52" s="46"/>
      <c r="K52" s="71"/>
      <c r="L52" s="72" t="s">
        <v>2484</v>
      </c>
      <c r="M52" s="73" t="s">
        <v>2485</v>
      </c>
      <c r="N52" s="71" t="s">
        <v>2486</v>
      </c>
      <c r="O52" s="46"/>
      <c r="P52" s="46" t="s">
        <v>1933</v>
      </c>
      <c r="Q52" s="46"/>
      <c r="R52" s="46" t="s">
        <v>1933</v>
      </c>
      <c r="S52" s="46"/>
      <c r="T52" s="46"/>
      <c r="U52" s="46"/>
      <c r="V52" s="46"/>
      <c r="W52" s="46"/>
      <c r="X52" s="46"/>
      <c r="Y52" s="46"/>
      <c r="Z52" s="32" t="s">
        <v>2295</v>
      </c>
    </row>
    <row r="53" spans="1:26" ht="16.95" customHeight="1" x14ac:dyDescent="0.25">
      <c r="A53" s="46" t="s">
        <v>181</v>
      </c>
      <c r="B53" s="46">
        <v>1</v>
      </c>
      <c r="C53" s="46" t="s">
        <v>2334</v>
      </c>
      <c r="D53" s="46" t="s">
        <v>1933</v>
      </c>
      <c r="E53" s="46" t="s">
        <v>1933</v>
      </c>
      <c r="F53" s="47" t="s">
        <v>2472</v>
      </c>
      <c r="G53" s="46" t="s">
        <v>2298</v>
      </c>
      <c r="H53" s="46" t="s">
        <v>2290</v>
      </c>
      <c r="I53" s="46" t="s">
        <v>2291</v>
      </c>
      <c r="J53" s="46"/>
      <c r="K53" s="71"/>
      <c r="L53" s="72" t="s">
        <v>2484</v>
      </c>
      <c r="M53" s="73" t="s">
        <v>2487</v>
      </c>
      <c r="N53" s="71" t="s">
        <v>2488</v>
      </c>
      <c r="O53" s="46" t="s">
        <v>1933</v>
      </c>
      <c r="P53" s="46" t="s">
        <v>1933</v>
      </c>
      <c r="Q53" s="46" t="s">
        <v>1933</v>
      </c>
      <c r="R53" s="46" t="s">
        <v>1933</v>
      </c>
      <c r="S53" s="46" t="s">
        <v>1933</v>
      </c>
      <c r="T53" s="46" t="s">
        <v>1933</v>
      </c>
      <c r="U53" s="46" t="s">
        <v>1933</v>
      </c>
      <c r="V53" s="46" t="s">
        <v>1933</v>
      </c>
      <c r="W53" s="46" t="s">
        <v>1933</v>
      </c>
      <c r="X53" s="46"/>
      <c r="Y53" s="46"/>
      <c r="Z53" s="32" t="s">
        <v>2295</v>
      </c>
    </row>
    <row r="54" spans="1:26" ht="16.95" customHeight="1" x14ac:dyDescent="0.25">
      <c r="A54" s="46" t="s">
        <v>2489</v>
      </c>
      <c r="B54" s="46">
        <v>1</v>
      </c>
      <c r="C54" s="46" t="s">
        <v>2334</v>
      </c>
      <c r="D54" s="46" t="s">
        <v>1933</v>
      </c>
      <c r="E54" s="46" t="s">
        <v>1933</v>
      </c>
      <c r="F54" s="47" t="s">
        <v>2472</v>
      </c>
      <c r="G54" s="46" t="s">
        <v>2298</v>
      </c>
      <c r="H54" s="46" t="s">
        <v>2290</v>
      </c>
      <c r="I54" s="46" t="s">
        <v>2291</v>
      </c>
      <c r="J54" s="46" t="s">
        <v>2310</v>
      </c>
      <c r="K54" s="71" t="s">
        <v>2490</v>
      </c>
      <c r="L54" s="72" t="s">
        <v>2484</v>
      </c>
      <c r="M54" s="73" t="s">
        <v>2491</v>
      </c>
      <c r="N54" s="71" t="s">
        <v>2492</v>
      </c>
      <c r="O54" s="46"/>
      <c r="P54" s="46" t="s">
        <v>1933</v>
      </c>
      <c r="Q54" s="46" t="s">
        <v>1933</v>
      </c>
      <c r="R54" s="46" t="s">
        <v>1933</v>
      </c>
      <c r="S54" s="46" t="s">
        <v>1933</v>
      </c>
      <c r="T54" s="46"/>
      <c r="U54" s="46"/>
      <c r="V54" s="46"/>
      <c r="W54" s="46"/>
      <c r="X54" s="46"/>
      <c r="Y54" s="46"/>
      <c r="Z54" s="32" t="s">
        <v>2295</v>
      </c>
    </row>
    <row r="55" spans="1:26" ht="16.95" customHeight="1" x14ac:dyDescent="0.25">
      <c r="A55" s="40" t="s">
        <v>2493</v>
      </c>
      <c r="B55" s="40">
        <v>1</v>
      </c>
      <c r="C55" s="40" t="s">
        <v>2308</v>
      </c>
      <c r="D55" s="40"/>
      <c r="E55" s="40"/>
      <c r="F55" s="41" t="s">
        <v>2251</v>
      </c>
      <c r="G55" s="40" t="s">
        <v>2298</v>
      </c>
      <c r="H55" s="40" t="s">
        <v>2290</v>
      </c>
      <c r="I55" s="40" t="s">
        <v>2291</v>
      </c>
      <c r="J55" s="40"/>
      <c r="K55" s="62"/>
      <c r="L55" s="63" t="s">
        <v>2338</v>
      </c>
      <c r="M55" s="64" t="s">
        <v>2494</v>
      </c>
      <c r="N55" s="62" t="s">
        <v>2495</v>
      </c>
      <c r="O55" s="40" t="s">
        <v>1933</v>
      </c>
      <c r="P55" s="40"/>
      <c r="Q55" s="40"/>
      <c r="R55" s="40"/>
      <c r="S55" s="40"/>
      <c r="T55" s="40" t="s">
        <v>1933</v>
      </c>
      <c r="U55" s="40"/>
      <c r="V55" s="40" t="s">
        <v>1933</v>
      </c>
      <c r="W55" s="40" t="s">
        <v>1933</v>
      </c>
      <c r="X55" s="40"/>
      <c r="Y55" s="40"/>
      <c r="Z55" s="32" t="s">
        <v>2295</v>
      </c>
    </row>
    <row r="56" spans="1:26" ht="16.95" customHeight="1" x14ac:dyDescent="0.25">
      <c r="A56" s="44" t="s">
        <v>2496</v>
      </c>
      <c r="B56" s="44">
        <v>1</v>
      </c>
      <c r="C56" s="44" t="s">
        <v>2328</v>
      </c>
      <c r="D56" s="44"/>
      <c r="E56" s="44"/>
      <c r="F56" s="45" t="s">
        <v>2251</v>
      </c>
      <c r="G56" s="44" t="s">
        <v>2289</v>
      </c>
      <c r="H56" s="44" t="s">
        <v>2290</v>
      </c>
      <c r="I56" s="44"/>
      <c r="J56" s="44"/>
      <c r="K56" s="68"/>
      <c r="L56" s="69" t="s">
        <v>2292</v>
      </c>
      <c r="M56" s="70" t="s">
        <v>2497</v>
      </c>
      <c r="N56" s="68" t="s">
        <v>2498</v>
      </c>
      <c r="O56" s="44" t="s">
        <v>1933</v>
      </c>
      <c r="P56" s="44"/>
      <c r="Q56" s="44"/>
      <c r="R56" s="44"/>
      <c r="S56" s="44"/>
      <c r="T56" s="44"/>
      <c r="U56" s="44"/>
      <c r="V56" s="44"/>
      <c r="W56" s="44"/>
      <c r="X56" s="44"/>
      <c r="Y56" s="44"/>
      <c r="Z56" s="32" t="s">
        <v>2295</v>
      </c>
    </row>
    <row r="57" spans="1:26" ht="16.95" customHeight="1" x14ac:dyDescent="0.25">
      <c r="A57" s="42" t="s">
        <v>2499</v>
      </c>
      <c r="B57" s="42">
        <v>1</v>
      </c>
      <c r="C57" s="42" t="s">
        <v>2315</v>
      </c>
      <c r="D57" s="42"/>
      <c r="E57" s="42"/>
      <c r="F57" s="43" t="s">
        <v>2370</v>
      </c>
      <c r="G57" s="42" t="s">
        <v>2298</v>
      </c>
      <c r="H57" s="42" t="s">
        <v>2290</v>
      </c>
      <c r="I57" s="42" t="s">
        <v>2291</v>
      </c>
      <c r="J57" s="42"/>
      <c r="K57" s="65"/>
      <c r="L57" s="66" t="s">
        <v>2343</v>
      </c>
      <c r="M57" s="67" t="s">
        <v>2500</v>
      </c>
      <c r="N57" s="65" t="s">
        <v>2501</v>
      </c>
      <c r="O57" s="42"/>
      <c r="P57" s="42"/>
      <c r="Q57" s="42"/>
      <c r="R57" s="42" t="s">
        <v>1933</v>
      </c>
      <c r="S57" s="42"/>
      <c r="T57" s="42"/>
      <c r="U57" s="42"/>
      <c r="V57" s="42"/>
      <c r="W57" s="42"/>
      <c r="X57" s="42"/>
      <c r="Y57" s="42"/>
      <c r="Z57" s="32" t="s">
        <v>2295</v>
      </c>
    </row>
    <row r="58" spans="1:26" ht="16.95" customHeight="1" x14ac:dyDescent="0.25">
      <c r="A58" s="34" t="s">
        <v>2502</v>
      </c>
      <c r="B58" s="34">
        <v>1</v>
      </c>
      <c r="C58" s="34" t="s">
        <v>2288</v>
      </c>
      <c r="D58" s="34"/>
      <c r="E58" s="34"/>
      <c r="F58" s="35" t="s">
        <v>2503</v>
      </c>
      <c r="G58" s="34" t="s">
        <v>2298</v>
      </c>
      <c r="H58" s="34" t="s">
        <v>2290</v>
      </c>
      <c r="I58" s="34"/>
      <c r="J58" s="34"/>
      <c r="K58" s="53"/>
      <c r="L58" s="54" t="s">
        <v>2292</v>
      </c>
      <c r="M58" s="55" t="s">
        <v>2504</v>
      </c>
      <c r="N58" s="53" t="s">
        <v>2505</v>
      </c>
      <c r="O58" s="34"/>
      <c r="P58" s="34"/>
      <c r="Q58" s="34"/>
      <c r="R58" s="34" t="s">
        <v>1933</v>
      </c>
      <c r="S58" s="34"/>
      <c r="T58" s="34"/>
      <c r="U58" s="34"/>
      <c r="V58" s="34"/>
      <c r="W58" s="34"/>
      <c r="X58" s="34"/>
      <c r="Y58" s="34"/>
      <c r="Z58" s="32" t="s">
        <v>2295</v>
      </c>
    </row>
    <row r="59" spans="1:26" ht="16.95" customHeight="1" x14ac:dyDescent="0.25">
      <c r="A59" s="48" t="s">
        <v>2506</v>
      </c>
      <c r="B59" s="48">
        <v>1</v>
      </c>
      <c r="C59" s="48" t="s">
        <v>2342</v>
      </c>
      <c r="D59" s="48"/>
      <c r="E59" s="48" t="s">
        <v>1933</v>
      </c>
      <c r="F59" s="49" t="s">
        <v>2507</v>
      </c>
      <c r="G59" s="48" t="s">
        <v>2298</v>
      </c>
      <c r="H59" s="48" t="s">
        <v>2290</v>
      </c>
      <c r="I59" s="48"/>
      <c r="J59" s="48"/>
      <c r="K59" s="74"/>
      <c r="L59" s="75" t="s">
        <v>2299</v>
      </c>
      <c r="M59" s="76" t="s">
        <v>2508</v>
      </c>
      <c r="N59" s="74" t="s">
        <v>2509</v>
      </c>
      <c r="O59" s="48"/>
      <c r="P59" s="48"/>
      <c r="Q59" s="48"/>
      <c r="R59" s="48"/>
      <c r="S59" s="48" t="s">
        <v>1933</v>
      </c>
      <c r="T59" s="48"/>
      <c r="U59" s="48"/>
      <c r="V59" s="48"/>
      <c r="W59" s="48"/>
      <c r="X59" s="48"/>
      <c r="Y59" s="48"/>
      <c r="Z59" s="32" t="s">
        <v>2295</v>
      </c>
    </row>
    <row r="60" spans="1:26" ht="16.95" customHeight="1" x14ac:dyDescent="0.25">
      <c r="A60" s="48" t="s">
        <v>2510</v>
      </c>
      <c r="B60" s="48">
        <v>1</v>
      </c>
      <c r="C60" s="48" t="s">
        <v>2342</v>
      </c>
      <c r="D60" s="48"/>
      <c r="E60" s="48" t="s">
        <v>1933</v>
      </c>
      <c r="F60" s="49" t="s">
        <v>2251</v>
      </c>
      <c r="G60" s="48" t="s">
        <v>2457</v>
      </c>
      <c r="H60" s="48" t="s">
        <v>2290</v>
      </c>
      <c r="I60" s="48" t="s">
        <v>2291</v>
      </c>
      <c r="J60" s="48"/>
      <c r="K60" s="74"/>
      <c r="L60" s="75" t="s">
        <v>2299</v>
      </c>
      <c r="M60" s="76" t="s">
        <v>2511</v>
      </c>
      <c r="N60" s="74" t="s">
        <v>2512</v>
      </c>
      <c r="O60" s="48"/>
      <c r="P60" s="48"/>
      <c r="Q60" s="48" t="s">
        <v>1933</v>
      </c>
      <c r="R60" s="48"/>
      <c r="S60" s="48" t="s">
        <v>1933</v>
      </c>
      <c r="T60" s="48"/>
      <c r="U60" s="48"/>
      <c r="V60" s="48"/>
      <c r="W60" s="48"/>
      <c r="X60" s="48"/>
      <c r="Y60" s="48"/>
      <c r="Z60" s="32" t="s">
        <v>2295</v>
      </c>
    </row>
    <row r="61" spans="1:26" ht="16.95" customHeight="1" x14ac:dyDescent="0.25">
      <c r="A61" s="42" t="s">
        <v>2513</v>
      </c>
      <c r="B61" s="42">
        <v>1</v>
      </c>
      <c r="C61" s="42" t="s">
        <v>2315</v>
      </c>
      <c r="D61" s="42"/>
      <c r="E61" s="42" t="s">
        <v>1933</v>
      </c>
      <c r="F61" s="43" t="s">
        <v>2370</v>
      </c>
      <c r="G61" s="42" t="s">
        <v>2298</v>
      </c>
      <c r="H61" s="42" t="s">
        <v>2290</v>
      </c>
      <c r="I61" s="42" t="s">
        <v>2291</v>
      </c>
      <c r="J61" s="42"/>
      <c r="K61" s="65"/>
      <c r="L61" s="66" t="s">
        <v>2484</v>
      </c>
      <c r="M61" s="67" t="s">
        <v>2514</v>
      </c>
      <c r="N61" s="65" t="s">
        <v>2515</v>
      </c>
      <c r="O61" s="42"/>
      <c r="P61" s="42"/>
      <c r="Q61" s="42"/>
      <c r="R61" s="42"/>
      <c r="S61" s="42"/>
      <c r="T61" s="42" t="s">
        <v>1933</v>
      </c>
      <c r="U61" s="42" t="s">
        <v>1933</v>
      </c>
      <c r="V61" s="42" t="s">
        <v>1933</v>
      </c>
      <c r="W61" s="42" t="s">
        <v>1933</v>
      </c>
      <c r="X61" s="42"/>
      <c r="Y61" s="42"/>
      <c r="Z61" s="32" t="s">
        <v>2295</v>
      </c>
    </row>
    <row r="62" spans="1:26" ht="16.95" customHeight="1" x14ac:dyDescent="0.25">
      <c r="A62" s="34" t="s">
        <v>2516</v>
      </c>
      <c r="B62" s="34">
        <v>1</v>
      </c>
      <c r="C62" s="34" t="s">
        <v>2288</v>
      </c>
      <c r="D62" s="34"/>
      <c r="E62" s="34" t="s">
        <v>1933</v>
      </c>
      <c r="F62" s="35" t="s">
        <v>2251</v>
      </c>
      <c r="G62" s="34" t="s">
        <v>2289</v>
      </c>
      <c r="H62" s="34" t="s">
        <v>2290</v>
      </c>
      <c r="I62" s="34"/>
      <c r="J62" s="34"/>
      <c r="K62" s="53"/>
      <c r="L62" s="54" t="s">
        <v>2299</v>
      </c>
      <c r="M62" s="55" t="s">
        <v>2517</v>
      </c>
      <c r="N62" s="53" t="s">
        <v>2518</v>
      </c>
      <c r="O62" s="34" t="s">
        <v>1933</v>
      </c>
      <c r="P62" s="34"/>
      <c r="Q62" s="34" t="s">
        <v>1933</v>
      </c>
      <c r="R62" s="34"/>
      <c r="S62" s="34"/>
      <c r="T62" s="34"/>
      <c r="U62" s="34"/>
      <c r="V62" s="34"/>
      <c r="W62" s="34" t="s">
        <v>1933</v>
      </c>
      <c r="X62" s="34"/>
      <c r="Y62" s="34"/>
      <c r="Z62" s="32" t="s">
        <v>2295</v>
      </c>
    </row>
    <row r="63" spans="1:26" ht="16.95" customHeight="1" x14ac:dyDescent="0.25">
      <c r="A63" s="38" t="s">
        <v>2519</v>
      </c>
      <c r="B63" s="38">
        <v>1</v>
      </c>
      <c r="C63" s="38" t="s">
        <v>2303</v>
      </c>
      <c r="D63" s="38"/>
      <c r="E63" s="38"/>
      <c r="F63" s="39" t="s">
        <v>2251</v>
      </c>
      <c r="G63" s="38" t="s">
        <v>2298</v>
      </c>
      <c r="H63" s="38" t="s">
        <v>2290</v>
      </c>
      <c r="I63" s="38" t="s">
        <v>2291</v>
      </c>
      <c r="J63" s="38" t="s">
        <v>2310</v>
      </c>
      <c r="K63" s="59" t="s">
        <v>2520</v>
      </c>
      <c r="L63" s="60" t="s">
        <v>2292</v>
      </c>
      <c r="M63" s="61" t="s">
        <v>2521</v>
      </c>
      <c r="N63" s="59" t="s">
        <v>2522</v>
      </c>
      <c r="O63" s="38"/>
      <c r="P63" s="38"/>
      <c r="Q63" s="38"/>
      <c r="R63" s="38"/>
      <c r="S63" s="38"/>
      <c r="T63" s="38" t="s">
        <v>1933</v>
      </c>
      <c r="U63" s="38"/>
      <c r="V63" s="38" t="s">
        <v>1933</v>
      </c>
      <c r="W63" s="38" t="s">
        <v>1933</v>
      </c>
      <c r="X63" s="38"/>
      <c r="Y63" s="38"/>
      <c r="Z63" s="32" t="s">
        <v>2295</v>
      </c>
    </row>
    <row r="64" spans="1:26" ht="16.95" customHeight="1" x14ac:dyDescent="0.25">
      <c r="A64" s="42" t="s">
        <v>2523</v>
      </c>
      <c r="B64" s="42">
        <v>1</v>
      </c>
      <c r="C64" s="42" t="s">
        <v>2315</v>
      </c>
      <c r="D64" s="42"/>
      <c r="E64" s="42"/>
      <c r="F64" s="43" t="s">
        <v>2524</v>
      </c>
      <c r="G64" s="42" t="s">
        <v>2289</v>
      </c>
      <c r="H64" s="42" t="s">
        <v>2290</v>
      </c>
      <c r="I64" s="42"/>
      <c r="J64" s="42" t="s">
        <v>2310</v>
      </c>
      <c r="K64" s="65" t="s">
        <v>2525</v>
      </c>
      <c r="L64" s="66" t="s">
        <v>2343</v>
      </c>
      <c r="M64" s="67" t="s">
        <v>2526</v>
      </c>
      <c r="N64" s="65" t="s">
        <v>2527</v>
      </c>
      <c r="O64" s="42" t="s">
        <v>1933</v>
      </c>
      <c r="P64" s="42"/>
      <c r="Q64" s="42"/>
      <c r="R64" s="42"/>
      <c r="S64" s="42"/>
      <c r="T64" s="42" t="s">
        <v>1933</v>
      </c>
      <c r="U64" s="42"/>
      <c r="V64" s="42" t="s">
        <v>1933</v>
      </c>
      <c r="W64" s="42" t="s">
        <v>1933</v>
      </c>
      <c r="X64" s="42"/>
      <c r="Y64" s="42"/>
      <c r="Z64" s="32" t="s">
        <v>2295</v>
      </c>
    </row>
    <row r="65" spans="1:26" ht="16.95" customHeight="1" x14ac:dyDescent="0.25">
      <c r="A65" s="48" t="s">
        <v>2528</v>
      </c>
      <c r="B65" s="48">
        <v>1</v>
      </c>
      <c r="C65" s="48" t="s">
        <v>2342</v>
      </c>
      <c r="D65" s="48" t="s">
        <v>1933</v>
      </c>
      <c r="E65" s="48"/>
      <c r="F65" s="49" t="s">
        <v>2529</v>
      </c>
      <c r="G65" s="48" t="s">
        <v>2329</v>
      </c>
      <c r="H65" s="48" t="s">
        <v>2290</v>
      </c>
      <c r="I65" s="48" t="s">
        <v>2291</v>
      </c>
      <c r="J65" s="48" t="s">
        <v>2310</v>
      </c>
      <c r="K65" s="74" t="s">
        <v>2530</v>
      </c>
      <c r="L65" s="75" t="s">
        <v>2292</v>
      </c>
      <c r="M65" s="76" t="s">
        <v>2531</v>
      </c>
      <c r="N65" s="74" t="s">
        <v>2532</v>
      </c>
      <c r="O65" s="48"/>
      <c r="P65" s="48"/>
      <c r="Q65" s="48"/>
      <c r="R65" s="48"/>
      <c r="S65" s="48"/>
      <c r="T65" s="48"/>
      <c r="U65" s="48"/>
      <c r="V65" s="48" t="s">
        <v>1933</v>
      </c>
      <c r="W65" s="48"/>
      <c r="X65" s="48"/>
      <c r="Y65" s="48"/>
      <c r="Z65" s="32" t="s">
        <v>2295</v>
      </c>
    </row>
    <row r="66" spans="1:26" ht="16.95" customHeight="1" x14ac:dyDescent="0.25">
      <c r="A66" s="48" t="s">
        <v>2533</v>
      </c>
      <c r="B66" s="48">
        <v>1</v>
      </c>
      <c r="C66" s="48" t="s">
        <v>2342</v>
      </c>
      <c r="D66" s="48"/>
      <c r="E66" s="48" t="s">
        <v>1933</v>
      </c>
      <c r="F66" s="49" t="s">
        <v>2251</v>
      </c>
      <c r="G66" s="48" t="s">
        <v>2309</v>
      </c>
      <c r="H66" s="48" t="s">
        <v>2290</v>
      </c>
      <c r="I66" s="48" t="s">
        <v>2291</v>
      </c>
      <c r="J66" s="48"/>
      <c r="K66" s="74"/>
      <c r="L66" s="75" t="s">
        <v>2534</v>
      </c>
      <c r="M66" s="76" t="s">
        <v>2535</v>
      </c>
      <c r="N66" s="74" t="s">
        <v>2536</v>
      </c>
      <c r="O66" s="48"/>
      <c r="P66" s="48"/>
      <c r="Q66" s="48" t="s">
        <v>1933</v>
      </c>
      <c r="R66" s="48"/>
      <c r="S66" s="48" t="s">
        <v>1933</v>
      </c>
      <c r="T66" s="48" t="s">
        <v>1933</v>
      </c>
      <c r="U66" s="48"/>
      <c r="V66" s="48" t="s">
        <v>1933</v>
      </c>
      <c r="W66" s="48"/>
      <c r="X66" s="48"/>
      <c r="Y66" s="48"/>
      <c r="Z66" s="32" t="s">
        <v>2295</v>
      </c>
    </row>
    <row r="67" spans="1:26" ht="16.95" customHeight="1" x14ac:dyDescent="0.25">
      <c r="A67" s="48" t="s">
        <v>2537</v>
      </c>
      <c r="B67" s="48">
        <v>1</v>
      </c>
      <c r="C67" s="48" t="s">
        <v>2342</v>
      </c>
      <c r="D67" s="48"/>
      <c r="E67" s="48"/>
      <c r="F67" s="49" t="s">
        <v>2251</v>
      </c>
      <c r="G67" s="48" t="s">
        <v>2298</v>
      </c>
      <c r="H67" s="48" t="s">
        <v>2290</v>
      </c>
      <c r="I67" s="48" t="s">
        <v>2291</v>
      </c>
      <c r="J67" s="48" t="s">
        <v>2310</v>
      </c>
      <c r="K67" s="74" t="s">
        <v>2538</v>
      </c>
      <c r="L67" s="75" t="s">
        <v>2432</v>
      </c>
      <c r="M67" s="76" t="s">
        <v>2539</v>
      </c>
      <c r="N67" s="74" t="s">
        <v>2540</v>
      </c>
      <c r="O67" s="48"/>
      <c r="P67" s="48"/>
      <c r="Q67" s="48" t="s">
        <v>1933</v>
      </c>
      <c r="R67" s="48"/>
      <c r="S67" s="48" t="s">
        <v>1933</v>
      </c>
      <c r="T67" s="48"/>
      <c r="U67" s="48"/>
      <c r="V67" s="48"/>
      <c r="W67" s="48"/>
      <c r="X67" s="48"/>
      <c r="Y67" s="48"/>
      <c r="Z67" s="32" t="s">
        <v>2295</v>
      </c>
    </row>
    <row r="68" spans="1:26" ht="16.95" customHeight="1" x14ac:dyDescent="0.25">
      <c r="A68" s="48" t="s">
        <v>2541</v>
      </c>
      <c r="B68" s="48">
        <v>1</v>
      </c>
      <c r="C68" s="48" t="s">
        <v>2342</v>
      </c>
      <c r="D68" s="48"/>
      <c r="E68" s="48"/>
      <c r="F68" s="49" t="s">
        <v>2251</v>
      </c>
      <c r="G68" s="48" t="s">
        <v>2289</v>
      </c>
      <c r="H68" s="48" t="s">
        <v>2290</v>
      </c>
      <c r="I68" s="48" t="s">
        <v>2291</v>
      </c>
      <c r="J68" s="48" t="s">
        <v>2310</v>
      </c>
      <c r="K68" s="74" t="s">
        <v>2542</v>
      </c>
      <c r="L68" s="75" t="s">
        <v>2343</v>
      </c>
      <c r="M68" s="76" t="s">
        <v>2543</v>
      </c>
      <c r="N68" s="74" t="s">
        <v>2544</v>
      </c>
      <c r="O68" s="48"/>
      <c r="P68" s="48"/>
      <c r="Q68" s="48"/>
      <c r="R68" s="48"/>
      <c r="S68" s="48"/>
      <c r="T68" s="48" t="s">
        <v>1933</v>
      </c>
      <c r="U68" s="48"/>
      <c r="V68" s="48" t="s">
        <v>1933</v>
      </c>
      <c r="W68" s="48" t="s">
        <v>1933</v>
      </c>
      <c r="X68" s="48"/>
      <c r="Y68" s="48"/>
      <c r="Z68" s="32" t="s">
        <v>2295</v>
      </c>
    </row>
    <row r="69" spans="1:26" ht="16.95" customHeight="1" x14ac:dyDescent="0.25">
      <c r="A69" s="34" t="s">
        <v>2545</v>
      </c>
      <c r="B69" s="34">
        <v>1</v>
      </c>
      <c r="C69" s="34" t="s">
        <v>2288</v>
      </c>
      <c r="D69" s="34"/>
      <c r="E69" s="34"/>
      <c r="F69" s="35" t="s">
        <v>2251</v>
      </c>
      <c r="G69" s="34" t="s">
        <v>2309</v>
      </c>
      <c r="H69" s="34" t="s">
        <v>2290</v>
      </c>
      <c r="I69" s="34" t="s">
        <v>2291</v>
      </c>
      <c r="J69" s="34"/>
      <c r="K69" s="53"/>
      <c r="L69" s="54" t="s">
        <v>2355</v>
      </c>
      <c r="M69" s="55" t="s">
        <v>2546</v>
      </c>
      <c r="N69" s="53" t="s">
        <v>2547</v>
      </c>
      <c r="O69" s="34"/>
      <c r="P69" s="34" t="s">
        <v>1933</v>
      </c>
      <c r="Q69" s="34"/>
      <c r="R69" s="34"/>
      <c r="S69" s="34"/>
      <c r="T69" s="34"/>
      <c r="U69" s="34"/>
      <c r="V69" s="34"/>
      <c r="W69" s="34"/>
      <c r="X69" s="34"/>
      <c r="Y69" s="34"/>
      <c r="Z69" s="32" t="s">
        <v>2295</v>
      </c>
    </row>
    <row r="70" spans="1:26" ht="16.95" customHeight="1" x14ac:dyDescent="0.25">
      <c r="A70" s="48" t="s">
        <v>2548</v>
      </c>
      <c r="B70" s="48">
        <v>1</v>
      </c>
      <c r="C70" s="48" t="s">
        <v>2342</v>
      </c>
      <c r="D70" s="48"/>
      <c r="E70" s="48"/>
      <c r="F70" s="49" t="s">
        <v>4721</v>
      </c>
      <c r="G70" s="48" t="s">
        <v>2298</v>
      </c>
      <c r="H70" s="48" t="s">
        <v>2290</v>
      </c>
      <c r="I70" s="48"/>
      <c r="J70" s="48"/>
      <c r="K70" s="74"/>
      <c r="L70" s="75" t="s">
        <v>2292</v>
      </c>
      <c r="M70" s="76" t="s">
        <v>2549</v>
      </c>
      <c r="N70" s="74" t="s">
        <v>2550</v>
      </c>
      <c r="O70" s="48"/>
      <c r="P70" s="48"/>
      <c r="Q70" s="48"/>
      <c r="R70" s="48"/>
      <c r="S70" s="48" t="s">
        <v>1933</v>
      </c>
      <c r="T70" s="48"/>
      <c r="U70" s="48"/>
      <c r="V70" s="48"/>
      <c r="W70" s="48"/>
      <c r="X70" s="48"/>
      <c r="Y70" s="48"/>
      <c r="Z70" s="32" t="s">
        <v>2295</v>
      </c>
    </row>
    <row r="71" spans="1:26" ht="16.95" customHeight="1" x14ac:dyDescent="0.25">
      <c r="A71" s="36" t="s">
        <v>2551</v>
      </c>
      <c r="B71" s="36">
        <v>1</v>
      </c>
      <c r="C71" s="36" t="s">
        <v>2297</v>
      </c>
      <c r="D71" s="36"/>
      <c r="E71" s="36"/>
      <c r="F71" s="37" t="s">
        <v>2370</v>
      </c>
      <c r="G71" s="36" t="s">
        <v>2289</v>
      </c>
      <c r="H71" s="36" t="s">
        <v>2290</v>
      </c>
      <c r="I71" s="36"/>
      <c r="J71" s="36"/>
      <c r="K71" s="56"/>
      <c r="L71" s="57" t="s">
        <v>2292</v>
      </c>
      <c r="M71" s="58" t="s">
        <v>2552</v>
      </c>
      <c r="N71" s="56" t="s">
        <v>2553</v>
      </c>
      <c r="O71" s="36" t="s">
        <v>1933</v>
      </c>
      <c r="P71" s="36" t="s">
        <v>1933</v>
      </c>
      <c r="Q71" s="36" t="s">
        <v>1933</v>
      </c>
      <c r="R71" s="36"/>
      <c r="S71" s="36"/>
      <c r="T71" s="36"/>
      <c r="U71" s="36"/>
      <c r="V71" s="36"/>
      <c r="W71" s="36"/>
      <c r="X71" s="36"/>
      <c r="Y71" s="36"/>
      <c r="Z71" s="32" t="s">
        <v>2295</v>
      </c>
    </row>
    <row r="72" spans="1:26" ht="16.95" customHeight="1" x14ac:dyDescent="0.25">
      <c r="A72" s="34" t="s">
        <v>2554</v>
      </c>
      <c r="B72" s="34">
        <v>1</v>
      </c>
      <c r="C72" s="34" t="s">
        <v>2288</v>
      </c>
      <c r="D72" s="34"/>
      <c r="E72" s="34"/>
      <c r="F72" s="35" t="s">
        <v>2555</v>
      </c>
      <c r="G72" s="34" t="s">
        <v>2289</v>
      </c>
      <c r="H72" s="34" t="s">
        <v>2290</v>
      </c>
      <c r="I72" s="34" t="s">
        <v>2291</v>
      </c>
      <c r="J72" s="34"/>
      <c r="K72" s="53"/>
      <c r="L72" s="54" t="s">
        <v>2292</v>
      </c>
      <c r="M72" s="55" t="s">
        <v>2556</v>
      </c>
      <c r="N72" s="53" t="s">
        <v>2557</v>
      </c>
      <c r="O72" s="34"/>
      <c r="P72" s="34"/>
      <c r="Q72" s="34"/>
      <c r="R72" s="34"/>
      <c r="S72" s="34"/>
      <c r="T72" s="34"/>
      <c r="U72" s="34" t="s">
        <v>1933</v>
      </c>
      <c r="V72" s="34"/>
      <c r="W72" s="34"/>
      <c r="X72" s="34"/>
      <c r="Y72" s="34"/>
      <c r="Z72" s="32" t="s">
        <v>2295</v>
      </c>
    </row>
    <row r="73" spans="1:26" ht="16.95" customHeight="1" x14ac:dyDescent="0.25">
      <c r="A73" s="44" t="s">
        <v>2558</v>
      </c>
      <c r="B73" s="44">
        <v>1</v>
      </c>
      <c r="C73" s="44" t="s">
        <v>2328</v>
      </c>
      <c r="D73" s="44"/>
      <c r="E73" s="44" t="s">
        <v>1933</v>
      </c>
      <c r="F73" s="45" t="s">
        <v>2251</v>
      </c>
      <c r="G73" s="44" t="s">
        <v>2304</v>
      </c>
      <c r="H73" s="44" t="s">
        <v>2290</v>
      </c>
      <c r="I73" s="44" t="s">
        <v>2291</v>
      </c>
      <c r="J73" s="44"/>
      <c r="K73" s="68"/>
      <c r="L73" s="69" t="s">
        <v>2299</v>
      </c>
      <c r="M73" s="70" t="s">
        <v>2559</v>
      </c>
      <c r="N73" s="68" t="s">
        <v>2560</v>
      </c>
      <c r="O73" s="44" t="s">
        <v>1933</v>
      </c>
      <c r="P73" s="44"/>
      <c r="Q73" s="44"/>
      <c r="R73" s="44" t="s">
        <v>1933</v>
      </c>
      <c r="S73" s="44"/>
      <c r="T73" s="44"/>
      <c r="U73" s="44"/>
      <c r="V73" s="44"/>
      <c r="W73" s="44"/>
      <c r="X73" s="44"/>
      <c r="Y73" s="44"/>
      <c r="Z73" s="32" t="s">
        <v>2295</v>
      </c>
    </row>
    <row r="74" spans="1:26" ht="16.95" customHeight="1" x14ac:dyDescent="0.25">
      <c r="A74" s="44" t="s">
        <v>2561</v>
      </c>
      <c r="B74" s="44">
        <v>1</v>
      </c>
      <c r="C74" s="44" t="s">
        <v>2328</v>
      </c>
      <c r="D74" s="44"/>
      <c r="E74" s="44" t="s">
        <v>1933</v>
      </c>
      <c r="F74" s="45" t="s">
        <v>2370</v>
      </c>
      <c r="G74" s="44" t="s">
        <v>2457</v>
      </c>
      <c r="H74" s="44" t="s">
        <v>2290</v>
      </c>
      <c r="I74" s="44" t="s">
        <v>2291</v>
      </c>
      <c r="J74" s="44" t="s">
        <v>2310</v>
      </c>
      <c r="K74" s="68" t="s">
        <v>2562</v>
      </c>
      <c r="L74" s="69" t="s">
        <v>2534</v>
      </c>
      <c r="M74" s="70" t="s">
        <v>2563</v>
      </c>
      <c r="N74" s="68" t="s">
        <v>2564</v>
      </c>
      <c r="O74" s="44"/>
      <c r="P74" s="44"/>
      <c r="Q74" s="44"/>
      <c r="R74" s="44"/>
      <c r="S74" s="44"/>
      <c r="T74" s="44"/>
      <c r="U74" s="44" t="s">
        <v>1933</v>
      </c>
      <c r="V74" s="44"/>
      <c r="W74" s="44"/>
      <c r="X74" s="44"/>
      <c r="Y74" s="44"/>
      <c r="Z74" s="32" t="s">
        <v>2295</v>
      </c>
    </row>
    <row r="75" spans="1:26" ht="16.95" customHeight="1" x14ac:dyDescent="0.25">
      <c r="A75" s="46" t="s">
        <v>2565</v>
      </c>
      <c r="B75" s="46">
        <v>1</v>
      </c>
      <c r="C75" s="46" t="s">
        <v>2334</v>
      </c>
      <c r="D75" s="46"/>
      <c r="E75" s="46" t="s">
        <v>1933</v>
      </c>
      <c r="F75" s="47" t="s">
        <v>2370</v>
      </c>
      <c r="G75" s="46" t="s">
        <v>2457</v>
      </c>
      <c r="H75" s="46" t="s">
        <v>2290</v>
      </c>
      <c r="I75" s="46"/>
      <c r="J75" s="46"/>
      <c r="K75" s="71"/>
      <c r="L75" s="72" t="s">
        <v>2534</v>
      </c>
      <c r="M75" s="73" t="s">
        <v>2566</v>
      </c>
      <c r="N75" s="71" t="s">
        <v>2567</v>
      </c>
      <c r="O75" s="46"/>
      <c r="P75" s="46"/>
      <c r="Q75" s="46"/>
      <c r="R75" s="46"/>
      <c r="S75" s="46" t="s">
        <v>1933</v>
      </c>
      <c r="T75" s="46"/>
      <c r="U75" s="46"/>
      <c r="V75" s="46"/>
      <c r="W75" s="46"/>
      <c r="X75" s="46"/>
      <c r="Y75" s="46"/>
      <c r="Z75" s="32" t="s">
        <v>2295</v>
      </c>
    </row>
    <row r="76" spans="1:26" ht="16.95" customHeight="1" x14ac:dyDescent="0.25">
      <c r="A76" s="48" t="s">
        <v>2568</v>
      </c>
      <c r="B76" s="48">
        <v>1</v>
      </c>
      <c r="C76" s="48" t="s">
        <v>2342</v>
      </c>
      <c r="D76" s="48"/>
      <c r="E76" s="48"/>
      <c r="F76" s="49" t="s">
        <v>2251</v>
      </c>
      <c r="G76" s="48" t="s">
        <v>2289</v>
      </c>
      <c r="H76" s="48"/>
      <c r="I76" s="48" t="s">
        <v>2291</v>
      </c>
      <c r="J76" s="48" t="s">
        <v>2310</v>
      </c>
      <c r="K76" s="74" t="s">
        <v>2569</v>
      </c>
      <c r="L76" s="75" t="s">
        <v>2292</v>
      </c>
      <c r="M76" s="76" t="s">
        <v>2570</v>
      </c>
      <c r="N76" s="74" t="s">
        <v>2571</v>
      </c>
      <c r="O76" s="48"/>
      <c r="P76" s="48"/>
      <c r="Q76" s="48" t="s">
        <v>1933</v>
      </c>
      <c r="R76" s="48"/>
      <c r="S76" s="48"/>
      <c r="T76" s="48" t="s">
        <v>1933</v>
      </c>
      <c r="U76" s="48"/>
      <c r="V76" s="48" t="s">
        <v>1933</v>
      </c>
      <c r="W76" s="48"/>
      <c r="X76" s="48"/>
      <c r="Y76" s="48"/>
      <c r="Z76" s="32" t="s">
        <v>2295</v>
      </c>
    </row>
    <row r="77" spans="1:26" ht="16.95" customHeight="1" x14ac:dyDescent="0.25">
      <c r="A77" s="46" t="s">
        <v>2572</v>
      </c>
      <c r="B77" s="46">
        <v>1</v>
      </c>
      <c r="C77" s="46" t="s">
        <v>2334</v>
      </c>
      <c r="D77" s="46" t="s">
        <v>1933</v>
      </c>
      <c r="E77" s="46"/>
      <c r="F77" s="47" t="s">
        <v>2573</v>
      </c>
      <c r="G77" s="46" t="s">
        <v>2304</v>
      </c>
      <c r="H77" s="46" t="s">
        <v>2290</v>
      </c>
      <c r="I77" s="46" t="s">
        <v>2291</v>
      </c>
      <c r="J77" s="46" t="s">
        <v>2310</v>
      </c>
      <c r="K77" s="71" t="s">
        <v>2574</v>
      </c>
      <c r="L77" s="72" t="s">
        <v>2292</v>
      </c>
      <c r="M77" s="73" t="s">
        <v>2575</v>
      </c>
      <c r="N77" s="71" t="s">
        <v>2576</v>
      </c>
      <c r="O77" s="46" t="s">
        <v>1933</v>
      </c>
      <c r="P77" s="46"/>
      <c r="Q77" s="46"/>
      <c r="R77" s="46"/>
      <c r="S77" s="46"/>
      <c r="T77" s="46"/>
      <c r="U77" s="46"/>
      <c r="V77" s="46" t="s">
        <v>1933</v>
      </c>
      <c r="W77" s="46" t="s">
        <v>1933</v>
      </c>
      <c r="X77" s="46"/>
      <c r="Y77" s="46"/>
      <c r="Z77" s="32" t="s">
        <v>2295</v>
      </c>
    </row>
    <row r="78" spans="1:26" ht="16.95" customHeight="1" x14ac:dyDescent="0.25">
      <c r="A78" s="40" t="s">
        <v>2577</v>
      </c>
      <c r="B78" s="40">
        <v>1</v>
      </c>
      <c r="C78" s="40" t="s">
        <v>2308</v>
      </c>
      <c r="D78" s="40" t="s">
        <v>1933</v>
      </c>
      <c r="E78" s="40"/>
      <c r="F78" s="41" t="s">
        <v>2573</v>
      </c>
      <c r="G78" s="40" t="s">
        <v>2304</v>
      </c>
      <c r="H78" s="40" t="s">
        <v>2290</v>
      </c>
      <c r="I78" s="40" t="s">
        <v>2291</v>
      </c>
      <c r="J78" s="40" t="s">
        <v>2310</v>
      </c>
      <c r="K78" s="62" t="s">
        <v>2578</v>
      </c>
      <c r="L78" s="63" t="s">
        <v>2579</v>
      </c>
      <c r="M78" s="64" t="s">
        <v>2580</v>
      </c>
      <c r="N78" s="62" t="s">
        <v>2581</v>
      </c>
      <c r="O78" s="40" t="s">
        <v>1933</v>
      </c>
      <c r="P78" s="40"/>
      <c r="Q78" s="40"/>
      <c r="R78" s="40"/>
      <c r="S78" s="40"/>
      <c r="T78" s="40"/>
      <c r="U78" s="40"/>
      <c r="V78" s="40" t="s">
        <v>1933</v>
      </c>
      <c r="W78" s="40"/>
      <c r="X78" s="40"/>
      <c r="Y78" s="40"/>
      <c r="Z78" s="32" t="s">
        <v>2295</v>
      </c>
    </row>
    <row r="79" spans="1:26" ht="16.95" customHeight="1" x14ac:dyDescent="0.25">
      <c r="A79" s="38" t="s">
        <v>2582</v>
      </c>
      <c r="B79" s="38">
        <v>1</v>
      </c>
      <c r="C79" s="38" t="s">
        <v>2303</v>
      </c>
      <c r="D79" s="38"/>
      <c r="E79" s="38"/>
      <c r="F79" s="39" t="s">
        <v>2251</v>
      </c>
      <c r="G79" s="38" t="s">
        <v>2304</v>
      </c>
      <c r="H79" s="38" t="s">
        <v>2290</v>
      </c>
      <c r="I79" s="38" t="s">
        <v>2291</v>
      </c>
      <c r="J79" s="38"/>
      <c r="K79" s="59"/>
      <c r="L79" s="60" t="s">
        <v>2292</v>
      </c>
      <c r="M79" s="61" t="s">
        <v>2583</v>
      </c>
      <c r="N79" s="59" t="s">
        <v>2584</v>
      </c>
      <c r="O79" s="38"/>
      <c r="P79" s="38" t="s">
        <v>1933</v>
      </c>
      <c r="Q79" s="38"/>
      <c r="R79" s="38"/>
      <c r="S79" s="38"/>
      <c r="T79" s="38"/>
      <c r="U79" s="38"/>
      <c r="V79" s="38"/>
      <c r="W79" s="38"/>
      <c r="X79" s="38"/>
      <c r="Y79" s="38"/>
      <c r="Z79" s="32" t="s">
        <v>2295</v>
      </c>
    </row>
    <row r="80" spans="1:26" ht="16.95" customHeight="1" x14ac:dyDescent="0.25">
      <c r="A80" s="42" t="s">
        <v>2585</v>
      </c>
      <c r="B80" s="42">
        <v>1</v>
      </c>
      <c r="C80" s="42" t="s">
        <v>2315</v>
      </c>
      <c r="D80" s="42"/>
      <c r="E80" s="42"/>
      <c r="F80" s="43" t="s">
        <v>2370</v>
      </c>
      <c r="G80" s="42" t="s">
        <v>2304</v>
      </c>
      <c r="H80" s="42" t="s">
        <v>2290</v>
      </c>
      <c r="I80" s="42" t="s">
        <v>2291</v>
      </c>
      <c r="J80" s="42" t="s">
        <v>2310</v>
      </c>
      <c r="K80" s="65" t="s">
        <v>2586</v>
      </c>
      <c r="L80" s="66" t="s">
        <v>2343</v>
      </c>
      <c r="M80" s="67" t="s">
        <v>2587</v>
      </c>
      <c r="N80" s="65" t="s">
        <v>2588</v>
      </c>
      <c r="O80" s="42"/>
      <c r="P80" s="42"/>
      <c r="Q80" s="42" t="s">
        <v>1933</v>
      </c>
      <c r="R80" s="42"/>
      <c r="S80" s="42" t="s">
        <v>1933</v>
      </c>
      <c r="T80" s="42" t="s">
        <v>1933</v>
      </c>
      <c r="U80" s="42"/>
      <c r="V80" s="42" t="s">
        <v>1933</v>
      </c>
      <c r="W80" s="42"/>
      <c r="X80" s="42"/>
      <c r="Y80" s="42"/>
      <c r="Z80" s="32" t="s">
        <v>2295</v>
      </c>
    </row>
    <row r="81" spans="1:26" ht="16.95" customHeight="1" x14ac:dyDescent="0.25">
      <c r="A81" s="42" t="s">
        <v>2589</v>
      </c>
      <c r="B81" s="42">
        <v>1</v>
      </c>
      <c r="C81" s="42" t="s">
        <v>2315</v>
      </c>
      <c r="D81" s="42"/>
      <c r="E81" s="42"/>
      <c r="F81" s="43" t="s">
        <v>2251</v>
      </c>
      <c r="G81" s="42" t="s">
        <v>2304</v>
      </c>
      <c r="H81" s="42" t="s">
        <v>2290</v>
      </c>
      <c r="I81" s="42" t="s">
        <v>2291</v>
      </c>
      <c r="J81" s="42" t="s">
        <v>2310</v>
      </c>
      <c r="K81" s="65" t="s">
        <v>2590</v>
      </c>
      <c r="L81" s="66" t="s">
        <v>2338</v>
      </c>
      <c r="M81" s="67" t="s">
        <v>2591</v>
      </c>
      <c r="N81" s="65" t="s">
        <v>2592</v>
      </c>
      <c r="O81" s="42" t="s">
        <v>1933</v>
      </c>
      <c r="P81" s="42"/>
      <c r="Q81" s="42" t="s">
        <v>1933</v>
      </c>
      <c r="R81" s="42"/>
      <c r="S81" s="42" t="s">
        <v>1933</v>
      </c>
      <c r="T81" s="42"/>
      <c r="U81" s="42"/>
      <c r="V81" s="42" t="s">
        <v>1933</v>
      </c>
      <c r="W81" s="42" t="s">
        <v>1933</v>
      </c>
      <c r="X81" s="42"/>
      <c r="Y81" s="42"/>
      <c r="Z81" s="32" t="s">
        <v>2295</v>
      </c>
    </row>
    <row r="82" spans="1:26" ht="16.95" customHeight="1" x14ac:dyDescent="0.25">
      <c r="A82" s="36" t="s">
        <v>1937</v>
      </c>
      <c r="B82" s="36">
        <v>1</v>
      </c>
      <c r="C82" s="36" t="s">
        <v>2297</v>
      </c>
      <c r="D82" s="36"/>
      <c r="E82" s="36"/>
      <c r="F82" s="37" t="s">
        <v>2251</v>
      </c>
      <c r="G82" s="36" t="s">
        <v>2304</v>
      </c>
      <c r="H82" s="36" t="s">
        <v>2290</v>
      </c>
      <c r="I82" s="36" t="s">
        <v>2291</v>
      </c>
      <c r="J82" s="36" t="s">
        <v>2310</v>
      </c>
      <c r="K82" s="56" t="s">
        <v>2593</v>
      </c>
      <c r="L82" s="57" t="s">
        <v>2427</v>
      </c>
      <c r="M82" s="58" t="s">
        <v>2594</v>
      </c>
      <c r="N82" s="56" t="s">
        <v>2595</v>
      </c>
      <c r="O82" s="36"/>
      <c r="P82" s="36"/>
      <c r="Q82" s="36"/>
      <c r="R82" s="36"/>
      <c r="S82" s="36"/>
      <c r="T82" s="36" t="s">
        <v>1933</v>
      </c>
      <c r="U82" s="36"/>
      <c r="V82" s="36" t="s">
        <v>1933</v>
      </c>
      <c r="W82" s="36"/>
      <c r="X82" s="36"/>
      <c r="Y82" s="36"/>
      <c r="Z82" s="32" t="s">
        <v>2295</v>
      </c>
    </row>
    <row r="83" spans="1:26" ht="16.95" customHeight="1" x14ac:dyDescent="0.25">
      <c r="A83" s="34" t="s">
        <v>2596</v>
      </c>
      <c r="B83" s="34">
        <v>1</v>
      </c>
      <c r="C83" s="34" t="s">
        <v>2288</v>
      </c>
      <c r="D83" s="34"/>
      <c r="E83" s="34"/>
      <c r="F83" s="35" t="s">
        <v>2251</v>
      </c>
      <c r="G83" s="34" t="s">
        <v>2309</v>
      </c>
      <c r="H83" s="34" t="s">
        <v>2290</v>
      </c>
      <c r="I83" s="34" t="s">
        <v>2291</v>
      </c>
      <c r="J83" s="34"/>
      <c r="K83" s="53"/>
      <c r="L83" s="54" t="s">
        <v>2292</v>
      </c>
      <c r="M83" s="55" t="s">
        <v>2597</v>
      </c>
      <c r="N83" s="53" t="s">
        <v>2598</v>
      </c>
      <c r="O83" s="34"/>
      <c r="P83" s="34"/>
      <c r="Q83" s="34"/>
      <c r="R83" s="34"/>
      <c r="S83" s="34"/>
      <c r="T83" s="34" t="s">
        <v>1933</v>
      </c>
      <c r="U83" s="34"/>
      <c r="V83" s="34" t="s">
        <v>1933</v>
      </c>
      <c r="W83" s="34"/>
      <c r="X83" s="34"/>
      <c r="Y83" s="34"/>
      <c r="Z83" s="32" t="s">
        <v>2295</v>
      </c>
    </row>
    <row r="84" spans="1:26" ht="16.95" customHeight="1" x14ac:dyDescent="0.25">
      <c r="A84" s="36" t="s">
        <v>2599</v>
      </c>
      <c r="B84" s="36">
        <v>1</v>
      </c>
      <c r="C84" s="36" t="s">
        <v>2297</v>
      </c>
      <c r="D84" s="36"/>
      <c r="E84" s="36" t="s">
        <v>1933</v>
      </c>
      <c r="F84" s="37" t="s">
        <v>2251</v>
      </c>
      <c r="G84" s="36" t="s">
        <v>2304</v>
      </c>
      <c r="H84" s="36" t="s">
        <v>2290</v>
      </c>
      <c r="I84" s="36" t="s">
        <v>2291</v>
      </c>
      <c r="J84" s="36" t="s">
        <v>2310</v>
      </c>
      <c r="K84" s="56" t="s">
        <v>2600</v>
      </c>
      <c r="L84" s="57" t="s">
        <v>2484</v>
      </c>
      <c r="M84" s="58" t="s">
        <v>2601</v>
      </c>
      <c r="N84" s="56" t="s">
        <v>2602</v>
      </c>
      <c r="O84" s="36"/>
      <c r="P84" s="36" t="s">
        <v>1933</v>
      </c>
      <c r="Q84" s="36" t="s">
        <v>1933</v>
      </c>
      <c r="R84" s="36" t="s">
        <v>1933</v>
      </c>
      <c r="S84" s="36"/>
      <c r="T84" s="36"/>
      <c r="U84" s="36" t="s">
        <v>1933</v>
      </c>
      <c r="V84" s="36" t="s">
        <v>1933</v>
      </c>
      <c r="W84" s="36"/>
      <c r="X84" s="36"/>
      <c r="Y84" s="36"/>
      <c r="Z84" s="32" t="s">
        <v>2295</v>
      </c>
    </row>
    <row r="85" spans="1:26" ht="16.95" customHeight="1" x14ac:dyDescent="0.25">
      <c r="A85" s="42" t="s">
        <v>2603</v>
      </c>
      <c r="B85" s="42">
        <v>1</v>
      </c>
      <c r="C85" s="42" t="s">
        <v>2315</v>
      </c>
      <c r="D85" s="42" t="s">
        <v>1933</v>
      </c>
      <c r="E85" s="42"/>
      <c r="F85" s="43" t="s">
        <v>2472</v>
      </c>
      <c r="G85" s="42" t="s">
        <v>2329</v>
      </c>
      <c r="H85" s="42" t="s">
        <v>2290</v>
      </c>
      <c r="I85" s="42" t="s">
        <v>2291</v>
      </c>
      <c r="J85" s="42"/>
      <c r="K85" s="65"/>
      <c r="L85" s="66" t="s">
        <v>2292</v>
      </c>
      <c r="M85" s="67" t="s">
        <v>2604</v>
      </c>
      <c r="N85" s="65" t="s">
        <v>2605</v>
      </c>
      <c r="O85" s="42"/>
      <c r="P85" s="42" t="s">
        <v>1933</v>
      </c>
      <c r="Q85" s="42" t="s">
        <v>1933</v>
      </c>
      <c r="R85" s="42" t="s">
        <v>1933</v>
      </c>
      <c r="S85" s="42"/>
      <c r="T85" s="42"/>
      <c r="U85" s="42"/>
      <c r="V85" s="42"/>
      <c r="W85" s="42" t="s">
        <v>1933</v>
      </c>
      <c r="X85" s="42"/>
      <c r="Y85" s="42"/>
      <c r="Z85" s="32" t="s">
        <v>2295</v>
      </c>
    </row>
    <row r="86" spans="1:26" ht="16.95" customHeight="1" x14ac:dyDescent="0.25">
      <c r="A86" s="38" t="s">
        <v>2606</v>
      </c>
      <c r="B86" s="38">
        <v>1</v>
      </c>
      <c r="C86" s="38" t="s">
        <v>2303</v>
      </c>
      <c r="D86" s="38"/>
      <c r="E86" s="38"/>
      <c r="F86" s="39" t="s">
        <v>2251</v>
      </c>
      <c r="G86" s="38" t="s">
        <v>2289</v>
      </c>
      <c r="H86" s="38" t="s">
        <v>2290</v>
      </c>
      <c r="I86" s="38" t="s">
        <v>2291</v>
      </c>
      <c r="J86" s="38"/>
      <c r="K86" s="59"/>
      <c r="L86" s="60" t="s">
        <v>2292</v>
      </c>
      <c r="M86" s="61" t="s">
        <v>2607</v>
      </c>
      <c r="N86" s="59" t="s">
        <v>2608</v>
      </c>
      <c r="O86" s="38"/>
      <c r="P86" s="38"/>
      <c r="Q86" s="38"/>
      <c r="R86" s="38"/>
      <c r="S86" s="38"/>
      <c r="T86" s="38" t="s">
        <v>1933</v>
      </c>
      <c r="U86" s="38"/>
      <c r="V86" s="38" t="s">
        <v>1933</v>
      </c>
      <c r="W86" s="38"/>
      <c r="X86" s="38"/>
      <c r="Y86" s="38"/>
      <c r="Z86" s="32" t="s">
        <v>2295</v>
      </c>
    </row>
    <row r="87" spans="1:26" ht="16.95" customHeight="1" x14ac:dyDescent="0.25">
      <c r="A87" s="36" t="s">
        <v>2609</v>
      </c>
      <c r="B87" s="36">
        <v>1</v>
      </c>
      <c r="C87" s="36" t="s">
        <v>2297</v>
      </c>
      <c r="D87" s="36"/>
      <c r="E87" s="36"/>
      <c r="F87" s="37" t="s">
        <v>2370</v>
      </c>
      <c r="G87" s="36" t="s">
        <v>2018</v>
      </c>
      <c r="H87" s="36" t="s">
        <v>2290</v>
      </c>
      <c r="I87" s="36" t="s">
        <v>2291</v>
      </c>
      <c r="J87" s="36" t="s">
        <v>2310</v>
      </c>
      <c r="K87" s="56" t="s">
        <v>2610</v>
      </c>
      <c r="L87" s="57" t="s">
        <v>2343</v>
      </c>
      <c r="M87" s="58" t="s">
        <v>2611</v>
      </c>
      <c r="N87" s="56" t="s">
        <v>2612</v>
      </c>
      <c r="O87" s="36"/>
      <c r="P87" s="36" t="s">
        <v>1933</v>
      </c>
      <c r="Q87" s="36"/>
      <c r="R87" s="36"/>
      <c r="S87" s="36"/>
      <c r="T87" s="36"/>
      <c r="U87" s="36"/>
      <c r="V87" s="36"/>
      <c r="W87" s="36" t="s">
        <v>1933</v>
      </c>
      <c r="X87" s="36"/>
      <c r="Y87" s="36"/>
      <c r="Z87" s="32" t="s">
        <v>2295</v>
      </c>
    </row>
    <row r="88" spans="1:26" ht="16.95" customHeight="1" x14ac:dyDescent="0.25">
      <c r="A88" s="34" t="s">
        <v>2613</v>
      </c>
      <c r="B88" s="34">
        <v>1</v>
      </c>
      <c r="C88" s="34" t="s">
        <v>2288</v>
      </c>
      <c r="D88" s="34"/>
      <c r="E88" s="34"/>
      <c r="F88" s="35" t="s">
        <v>2503</v>
      </c>
      <c r="G88" s="34" t="s">
        <v>2298</v>
      </c>
      <c r="H88" s="34" t="s">
        <v>2290</v>
      </c>
      <c r="I88" s="34"/>
      <c r="J88" s="34"/>
      <c r="K88" s="53"/>
      <c r="L88" s="54" t="s">
        <v>2343</v>
      </c>
      <c r="M88" s="55" t="s">
        <v>2614</v>
      </c>
      <c r="N88" s="53" t="s">
        <v>2615</v>
      </c>
      <c r="O88" s="34"/>
      <c r="P88" s="34"/>
      <c r="Q88" s="34"/>
      <c r="R88" s="34" t="s">
        <v>1933</v>
      </c>
      <c r="S88" s="34"/>
      <c r="T88" s="34"/>
      <c r="U88" s="34"/>
      <c r="V88" s="34"/>
      <c r="W88" s="34"/>
      <c r="X88" s="34"/>
      <c r="Y88" s="34"/>
      <c r="Z88" s="32" t="s">
        <v>2295</v>
      </c>
    </row>
    <row r="89" spans="1:26" ht="16.95" customHeight="1" x14ac:dyDescent="0.25">
      <c r="A89" s="36" t="s">
        <v>2616</v>
      </c>
      <c r="B89" s="36">
        <v>1</v>
      </c>
      <c r="C89" s="36" t="s">
        <v>2297</v>
      </c>
      <c r="D89" s="36"/>
      <c r="E89" s="36"/>
      <c r="F89" s="37" t="s">
        <v>2617</v>
      </c>
      <c r="G89" s="36" t="s">
        <v>2298</v>
      </c>
      <c r="H89" s="36" t="s">
        <v>2290</v>
      </c>
      <c r="I89" s="36" t="s">
        <v>2291</v>
      </c>
      <c r="J89" s="36"/>
      <c r="K89" s="56"/>
      <c r="L89" s="57" t="s">
        <v>2355</v>
      </c>
      <c r="M89" s="58" t="s">
        <v>2618</v>
      </c>
      <c r="N89" s="56" t="s">
        <v>2619</v>
      </c>
      <c r="O89" s="36"/>
      <c r="P89" s="36"/>
      <c r="Q89" s="36"/>
      <c r="R89" s="36"/>
      <c r="S89" s="36"/>
      <c r="T89" s="36" t="s">
        <v>1933</v>
      </c>
      <c r="U89" s="36"/>
      <c r="V89" s="36" t="s">
        <v>1933</v>
      </c>
      <c r="W89" s="36"/>
      <c r="X89" s="36"/>
      <c r="Y89" s="36"/>
      <c r="Z89" s="32" t="s">
        <v>2295</v>
      </c>
    </row>
    <row r="90" spans="1:26" ht="16.95" customHeight="1" x14ac:dyDescent="0.25">
      <c r="A90" s="36" t="s">
        <v>2620</v>
      </c>
      <c r="B90" s="36">
        <v>1</v>
      </c>
      <c r="C90" s="36" t="s">
        <v>2297</v>
      </c>
      <c r="D90" s="36"/>
      <c r="E90" s="36" t="s">
        <v>1933</v>
      </c>
      <c r="F90" s="37" t="s">
        <v>2370</v>
      </c>
      <c r="G90" s="36" t="s">
        <v>2289</v>
      </c>
      <c r="H90" s="36" t="s">
        <v>2290</v>
      </c>
      <c r="I90" s="36" t="s">
        <v>2291</v>
      </c>
      <c r="J90" s="36" t="s">
        <v>2310</v>
      </c>
      <c r="K90" s="56" t="s">
        <v>2621</v>
      </c>
      <c r="L90" s="57" t="s">
        <v>2484</v>
      </c>
      <c r="M90" s="58" t="s">
        <v>2622</v>
      </c>
      <c r="N90" s="56" t="s">
        <v>2623</v>
      </c>
      <c r="O90" s="36"/>
      <c r="P90" s="36" t="s">
        <v>1933</v>
      </c>
      <c r="Q90" s="36"/>
      <c r="R90" s="36" t="s">
        <v>1933</v>
      </c>
      <c r="S90" s="36"/>
      <c r="T90" s="36"/>
      <c r="U90" s="36"/>
      <c r="V90" s="36"/>
      <c r="W90" s="36"/>
      <c r="X90" s="36"/>
      <c r="Y90" s="36"/>
      <c r="Z90" s="32" t="s">
        <v>2295</v>
      </c>
    </row>
    <row r="91" spans="1:26" ht="16.95" customHeight="1" x14ac:dyDescent="0.25">
      <c r="A91" s="40" t="s">
        <v>2624</v>
      </c>
      <c r="B91" s="40">
        <v>1</v>
      </c>
      <c r="C91" s="40" t="s">
        <v>2308</v>
      </c>
      <c r="D91" s="40"/>
      <c r="E91" s="40" t="s">
        <v>1933</v>
      </c>
      <c r="F91" s="41" t="s">
        <v>2251</v>
      </c>
      <c r="G91" s="40" t="s">
        <v>2289</v>
      </c>
      <c r="H91" s="40" t="s">
        <v>2290</v>
      </c>
      <c r="I91" s="40" t="s">
        <v>2291</v>
      </c>
      <c r="J91" s="40" t="s">
        <v>2310</v>
      </c>
      <c r="K91" s="62" t="s">
        <v>2625</v>
      </c>
      <c r="L91" s="63" t="s">
        <v>2484</v>
      </c>
      <c r="M91" s="64" t="s">
        <v>2626</v>
      </c>
      <c r="N91" s="62" t="s">
        <v>2627</v>
      </c>
      <c r="O91" s="40" t="s">
        <v>1933</v>
      </c>
      <c r="P91" s="40"/>
      <c r="Q91" s="40"/>
      <c r="R91" s="40"/>
      <c r="S91" s="40"/>
      <c r="T91" s="40" t="s">
        <v>1933</v>
      </c>
      <c r="U91" s="40"/>
      <c r="V91" s="40" t="s">
        <v>1933</v>
      </c>
      <c r="W91" s="40"/>
      <c r="X91" s="40"/>
      <c r="Y91" s="40"/>
      <c r="Z91" s="32" t="s">
        <v>2295</v>
      </c>
    </row>
    <row r="92" spans="1:26" ht="16.95" customHeight="1" x14ac:dyDescent="0.25">
      <c r="A92" s="44" t="s">
        <v>2628</v>
      </c>
      <c r="B92" s="44">
        <v>1</v>
      </c>
      <c r="C92" s="44" t="s">
        <v>2328</v>
      </c>
      <c r="D92" s="44"/>
      <c r="E92" s="44"/>
      <c r="F92" s="45" t="s">
        <v>2251</v>
      </c>
      <c r="G92" s="44" t="s">
        <v>2289</v>
      </c>
      <c r="H92" s="44" t="s">
        <v>2290</v>
      </c>
      <c r="I92" s="44" t="s">
        <v>2291</v>
      </c>
      <c r="J92" s="44" t="s">
        <v>2310</v>
      </c>
      <c r="K92" s="68" t="s">
        <v>2629</v>
      </c>
      <c r="L92" s="69" t="s">
        <v>2299</v>
      </c>
      <c r="M92" s="70" t="s">
        <v>2630</v>
      </c>
      <c r="N92" s="68" t="s">
        <v>2631</v>
      </c>
      <c r="O92" s="44" t="s">
        <v>1933</v>
      </c>
      <c r="P92" s="44"/>
      <c r="Q92" s="44"/>
      <c r="R92" s="44"/>
      <c r="S92" s="44"/>
      <c r="T92" s="44" t="s">
        <v>1933</v>
      </c>
      <c r="U92" s="44"/>
      <c r="V92" s="44" t="s">
        <v>1933</v>
      </c>
      <c r="W92" s="44"/>
      <c r="X92" s="44"/>
      <c r="Y92" s="44"/>
      <c r="Z92" s="32" t="s">
        <v>2295</v>
      </c>
    </row>
    <row r="93" spans="1:26" ht="16.95" customHeight="1" x14ac:dyDescent="0.25">
      <c r="A93" s="46" t="s">
        <v>2632</v>
      </c>
      <c r="B93" s="46">
        <v>1</v>
      </c>
      <c r="C93" s="46" t="s">
        <v>2334</v>
      </c>
      <c r="D93" s="46" t="s">
        <v>1933</v>
      </c>
      <c r="E93" s="46"/>
      <c r="F93" s="47" t="s">
        <v>2472</v>
      </c>
      <c r="G93" s="46" t="s">
        <v>2298</v>
      </c>
      <c r="H93" s="46" t="s">
        <v>2290</v>
      </c>
      <c r="I93" s="46" t="s">
        <v>2291</v>
      </c>
      <c r="J93" s="46"/>
      <c r="K93" s="71"/>
      <c r="L93" s="72" t="s">
        <v>2371</v>
      </c>
      <c r="M93" s="73" t="s">
        <v>2633</v>
      </c>
      <c r="N93" s="71" t="s">
        <v>2634</v>
      </c>
      <c r="O93" s="46" t="s">
        <v>1933</v>
      </c>
      <c r="P93" s="46"/>
      <c r="Q93" s="46" t="s">
        <v>1933</v>
      </c>
      <c r="R93" s="46"/>
      <c r="S93" s="46" t="s">
        <v>1933</v>
      </c>
      <c r="T93" s="46"/>
      <c r="U93" s="46" t="s">
        <v>1933</v>
      </c>
      <c r="V93" s="46"/>
      <c r="W93" s="46"/>
      <c r="X93" s="46"/>
      <c r="Y93" s="46"/>
      <c r="Z93" s="32" t="s">
        <v>2295</v>
      </c>
    </row>
    <row r="94" spans="1:26" ht="16.95" customHeight="1" x14ac:dyDescent="0.25">
      <c r="A94" s="44" t="s">
        <v>2635</v>
      </c>
      <c r="B94" s="44">
        <v>1</v>
      </c>
      <c r="C94" s="44" t="s">
        <v>2328</v>
      </c>
      <c r="D94" s="44"/>
      <c r="E94" s="44" t="s">
        <v>1933</v>
      </c>
      <c r="F94" s="45" t="s">
        <v>2251</v>
      </c>
      <c r="G94" s="44" t="s">
        <v>2018</v>
      </c>
      <c r="H94" s="44" t="s">
        <v>2290</v>
      </c>
      <c r="I94" s="44" t="s">
        <v>2291</v>
      </c>
      <c r="J94" s="44" t="s">
        <v>2310</v>
      </c>
      <c r="K94" s="68" t="s">
        <v>2636</v>
      </c>
      <c r="L94" s="69" t="s">
        <v>2299</v>
      </c>
      <c r="M94" s="70" t="s">
        <v>2637</v>
      </c>
      <c r="N94" s="68" t="s">
        <v>2638</v>
      </c>
      <c r="O94" s="44" t="s">
        <v>1933</v>
      </c>
      <c r="P94" s="44"/>
      <c r="Q94" s="44"/>
      <c r="R94" s="44"/>
      <c r="S94" s="44"/>
      <c r="T94" s="44"/>
      <c r="U94" s="44" t="s">
        <v>1933</v>
      </c>
      <c r="V94" s="44" t="s">
        <v>1933</v>
      </c>
      <c r="W94" s="44"/>
      <c r="X94" s="44"/>
      <c r="Y94" s="44"/>
      <c r="Z94" s="32" t="s">
        <v>2295</v>
      </c>
    </row>
    <row r="95" spans="1:26" ht="16.95" customHeight="1" x14ac:dyDescent="0.25">
      <c r="A95" s="48" t="s">
        <v>2639</v>
      </c>
      <c r="B95" s="48">
        <v>1</v>
      </c>
      <c r="C95" s="48" t="s">
        <v>2342</v>
      </c>
      <c r="D95" s="48" t="s">
        <v>1933</v>
      </c>
      <c r="E95" s="48"/>
      <c r="F95" s="49" t="s">
        <v>2472</v>
      </c>
      <c r="G95" s="48" t="s">
        <v>2018</v>
      </c>
      <c r="H95" s="48" t="s">
        <v>2290</v>
      </c>
      <c r="I95" s="48" t="s">
        <v>2291</v>
      </c>
      <c r="J95" s="48" t="s">
        <v>2310</v>
      </c>
      <c r="K95" s="74" t="s">
        <v>2640</v>
      </c>
      <c r="L95" s="75" t="s">
        <v>2338</v>
      </c>
      <c r="M95" s="76" t="s">
        <v>2641</v>
      </c>
      <c r="N95" s="74" t="s">
        <v>2642</v>
      </c>
      <c r="O95" s="48"/>
      <c r="P95" s="48"/>
      <c r="Q95" s="48"/>
      <c r="R95" s="48"/>
      <c r="S95" s="48"/>
      <c r="T95" s="48"/>
      <c r="U95" s="48"/>
      <c r="V95" s="48" t="s">
        <v>1933</v>
      </c>
      <c r="W95" s="48"/>
      <c r="X95" s="48"/>
      <c r="Y95" s="48"/>
      <c r="Z95" s="32" t="s">
        <v>2295</v>
      </c>
    </row>
    <row r="96" spans="1:26" ht="16.95" customHeight="1" x14ac:dyDescent="0.25">
      <c r="A96" s="34" t="s">
        <v>2643</v>
      </c>
      <c r="B96" s="34">
        <v>1</v>
      </c>
      <c r="C96" s="34" t="s">
        <v>2288</v>
      </c>
      <c r="D96" s="34"/>
      <c r="E96" s="34"/>
      <c r="F96" s="35" t="s">
        <v>2503</v>
      </c>
      <c r="G96" s="34" t="s">
        <v>2298</v>
      </c>
      <c r="H96" s="34" t="s">
        <v>2290</v>
      </c>
      <c r="I96" s="34"/>
      <c r="J96" s="34"/>
      <c r="K96" s="53"/>
      <c r="L96" s="54" t="s">
        <v>2292</v>
      </c>
      <c r="M96" s="55" t="s">
        <v>2644</v>
      </c>
      <c r="N96" s="53" t="s">
        <v>2645</v>
      </c>
      <c r="O96" s="34"/>
      <c r="P96" s="34"/>
      <c r="Q96" s="34"/>
      <c r="R96" s="34" t="s">
        <v>1933</v>
      </c>
      <c r="S96" s="34"/>
      <c r="T96" s="34"/>
      <c r="U96" s="34"/>
      <c r="V96" s="34"/>
      <c r="W96" s="34"/>
      <c r="X96" s="34"/>
      <c r="Y96" s="34"/>
      <c r="Z96" s="32" t="s">
        <v>2295</v>
      </c>
    </row>
    <row r="97" spans="1:26" ht="16.95" customHeight="1" x14ac:dyDescent="0.25">
      <c r="A97" s="34" t="s">
        <v>2646</v>
      </c>
      <c r="B97" s="34">
        <v>1</v>
      </c>
      <c r="C97" s="34" t="s">
        <v>2288</v>
      </c>
      <c r="D97" s="34"/>
      <c r="E97" s="34"/>
      <c r="F97" s="35" t="s">
        <v>2251</v>
      </c>
      <c r="G97" s="34" t="s">
        <v>2298</v>
      </c>
      <c r="H97" s="34" t="s">
        <v>2290</v>
      </c>
      <c r="I97" s="34" t="s">
        <v>2291</v>
      </c>
      <c r="J97" s="34"/>
      <c r="K97" s="53"/>
      <c r="L97" s="54" t="s">
        <v>2292</v>
      </c>
      <c r="M97" s="55" t="s">
        <v>2647</v>
      </c>
      <c r="N97" s="53" t="s">
        <v>2648</v>
      </c>
      <c r="O97" s="34" t="s">
        <v>1933</v>
      </c>
      <c r="P97" s="34"/>
      <c r="Q97" s="34" t="s">
        <v>1933</v>
      </c>
      <c r="R97" s="34"/>
      <c r="S97" s="34"/>
      <c r="T97" s="34" t="s">
        <v>1933</v>
      </c>
      <c r="U97" s="34"/>
      <c r="V97" s="34" t="s">
        <v>1933</v>
      </c>
      <c r="W97" s="34"/>
      <c r="X97" s="34"/>
      <c r="Y97" s="34"/>
      <c r="Z97" s="32" t="s">
        <v>2295</v>
      </c>
    </row>
    <row r="98" spans="1:26" ht="16.95" customHeight="1" x14ac:dyDescent="0.25">
      <c r="A98" s="48" t="s">
        <v>2649</v>
      </c>
      <c r="B98" s="48">
        <v>1</v>
      </c>
      <c r="C98" s="48" t="s">
        <v>2342</v>
      </c>
      <c r="D98" s="48" t="s">
        <v>1933</v>
      </c>
      <c r="E98" s="48"/>
      <c r="F98" s="49" t="s">
        <v>2472</v>
      </c>
      <c r="G98" s="48" t="s">
        <v>2289</v>
      </c>
      <c r="H98" s="48" t="s">
        <v>2290</v>
      </c>
      <c r="I98" s="48" t="s">
        <v>2291</v>
      </c>
      <c r="J98" s="48" t="s">
        <v>2310</v>
      </c>
      <c r="K98" s="74" t="s">
        <v>2650</v>
      </c>
      <c r="L98" s="75" t="s">
        <v>2338</v>
      </c>
      <c r="M98" s="76" t="s">
        <v>2651</v>
      </c>
      <c r="N98" s="74" t="s">
        <v>2652</v>
      </c>
      <c r="O98" s="48" t="s">
        <v>1933</v>
      </c>
      <c r="P98" s="48"/>
      <c r="Q98" s="48"/>
      <c r="R98" s="48"/>
      <c r="S98" s="48"/>
      <c r="T98" s="48"/>
      <c r="U98" s="48" t="s">
        <v>1933</v>
      </c>
      <c r="V98" s="48" t="s">
        <v>1933</v>
      </c>
      <c r="W98" s="48"/>
      <c r="X98" s="48"/>
      <c r="Y98" s="48"/>
      <c r="Z98" s="32" t="s">
        <v>2295</v>
      </c>
    </row>
    <row r="99" spans="1:26" ht="16.95" customHeight="1" x14ac:dyDescent="0.25">
      <c r="A99" s="34" t="s">
        <v>2653</v>
      </c>
      <c r="B99" s="34">
        <v>1</v>
      </c>
      <c r="C99" s="34" t="s">
        <v>2288</v>
      </c>
      <c r="D99" s="34"/>
      <c r="E99" s="34" t="s">
        <v>1933</v>
      </c>
      <c r="F99" s="35" t="s">
        <v>2251</v>
      </c>
      <c r="G99" s="34" t="s">
        <v>2289</v>
      </c>
      <c r="H99" s="34" t="s">
        <v>2290</v>
      </c>
      <c r="I99" s="34" t="s">
        <v>2291</v>
      </c>
      <c r="J99" s="34" t="s">
        <v>2310</v>
      </c>
      <c r="K99" s="53" t="s">
        <v>2654</v>
      </c>
      <c r="L99" s="54" t="s">
        <v>2299</v>
      </c>
      <c r="M99" s="55" t="s">
        <v>2655</v>
      </c>
      <c r="N99" s="53" t="s">
        <v>2656</v>
      </c>
      <c r="O99" s="34"/>
      <c r="P99" s="34"/>
      <c r="Q99" s="34"/>
      <c r="R99" s="34"/>
      <c r="S99" s="34"/>
      <c r="T99" s="34" t="s">
        <v>1933</v>
      </c>
      <c r="U99" s="34" t="s">
        <v>1933</v>
      </c>
      <c r="V99" s="34" t="s">
        <v>1933</v>
      </c>
      <c r="W99" s="34"/>
      <c r="X99" s="34"/>
      <c r="Y99" s="34"/>
      <c r="Z99" s="32" t="s">
        <v>2295</v>
      </c>
    </row>
    <row r="100" spans="1:26" ht="16.95" customHeight="1" x14ac:dyDescent="0.25">
      <c r="A100" s="38" t="s">
        <v>2657</v>
      </c>
      <c r="B100" s="38">
        <v>1</v>
      </c>
      <c r="C100" s="38" t="s">
        <v>2303</v>
      </c>
      <c r="D100" s="38"/>
      <c r="E100" s="38"/>
      <c r="F100" s="39" t="s">
        <v>2503</v>
      </c>
      <c r="G100" s="38" t="s">
        <v>2298</v>
      </c>
      <c r="H100" s="38" t="s">
        <v>2290</v>
      </c>
      <c r="I100" s="38"/>
      <c r="J100" s="38"/>
      <c r="K100" s="59"/>
      <c r="L100" s="60" t="s">
        <v>2343</v>
      </c>
      <c r="M100" s="61" t="s">
        <v>2658</v>
      </c>
      <c r="N100" s="59" t="s">
        <v>2659</v>
      </c>
      <c r="O100" s="38"/>
      <c r="P100" s="38"/>
      <c r="Q100" s="38"/>
      <c r="R100" s="38" t="s">
        <v>1933</v>
      </c>
      <c r="S100" s="38"/>
      <c r="T100" s="38"/>
      <c r="U100" s="38"/>
      <c r="V100" s="38"/>
      <c r="W100" s="38"/>
      <c r="X100" s="38"/>
      <c r="Y100" s="38"/>
      <c r="Z100" s="32" t="s">
        <v>2295</v>
      </c>
    </row>
    <row r="101" spans="1:26" ht="16.95" customHeight="1" x14ac:dyDescent="0.25">
      <c r="A101" s="36" t="s">
        <v>2660</v>
      </c>
      <c r="B101" s="36">
        <v>2</v>
      </c>
      <c r="C101" s="36" t="s">
        <v>2297</v>
      </c>
      <c r="D101" s="36"/>
      <c r="E101" s="36"/>
      <c r="F101" s="37" t="s">
        <v>2251</v>
      </c>
      <c r="G101" s="36" t="s">
        <v>2018</v>
      </c>
      <c r="H101" s="36" t="s">
        <v>2290</v>
      </c>
      <c r="I101" s="36" t="s">
        <v>2291</v>
      </c>
      <c r="J101" s="36" t="s">
        <v>2310</v>
      </c>
      <c r="K101" s="56" t="s">
        <v>2661</v>
      </c>
      <c r="L101" s="57" t="s">
        <v>2662</v>
      </c>
      <c r="M101" s="58" t="s">
        <v>2663</v>
      </c>
      <c r="N101" s="56" t="s">
        <v>2664</v>
      </c>
      <c r="O101" s="36" t="s">
        <v>1933</v>
      </c>
      <c r="P101" s="36" t="s">
        <v>1933</v>
      </c>
      <c r="Q101" s="36" t="s">
        <v>1933</v>
      </c>
      <c r="R101" s="36" t="s">
        <v>1933</v>
      </c>
      <c r="S101" s="36" t="s">
        <v>1933</v>
      </c>
      <c r="T101" s="36"/>
      <c r="U101" s="36"/>
      <c r="V101" s="36"/>
      <c r="W101" s="36" t="s">
        <v>1933</v>
      </c>
      <c r="X101" s="36"/>
      <c r="Y101" s="36"/>
      <c r="Z101" s="32" t="s">
        <v>2295</v>
      </c>
    </row>
    <row r="102" spans="1:26" ht="16.95" customHeight="1" x14ac:dyDescent="0.25">
      <c r="A102" s="42" t="s">
        <v>2665</v>
      </c>
      <c r="B102" s="42">
        <v>2</v>
      </c>
      <c r="C102" s="42" t="s">
        <v>2315</v>
      </c>
      <c r="D102" s="42"/>
      <c r="E102" s="42" t="s">
        <v>1933</v>
      </c>
      <c r="F102" s="43" t="s">
        <v>2251</v>
      </c>
      <c r="G102" s="42" t="s">
        <v>2298</v>
      </c>
      <c r="H102" s="42" t="s">
        <v>2290</v>
      </c>
      <c r="I102" s="42" t="s">
        <v>2291</v>
      </c>
      <c r="J102" s="42"/>
      <c r="K102" s="65"/>
      <c r="L102" s="66" t="s">
        <v>2534</v>
      </c>
      <c r="M102" s="67" t="s">
        <v>2666</v>
      </c>
      <c r="N102" s="65" t="s">
        <v>2667</v>
      </c>
      <c r="O102" s="42"/>
      <c r="P102" s="42"/>
      <c r="Q102" s="42"/>
      <c r="R102" s="42"/>
      <c r="S102" s="42"/>
      <c r="T102" s="42" t="s">
        <v>1933</v>
      </c>
      <c r="U102" s="42"/>
      <c r="V102" s="42" t="s">
        <v>1933</v>
      </c>
      <c r="W102" s="42" t="s">
        <v>1933</v>
      </c>
      <c r="X102" s="42"/>
      <c r="Y102" s="42"/>
      <c r="Z102" s="32" t="s">
        <v>2295</v>
      </c>
    </row>
    <row r="103" spans="1:26" ht="16.95" customHeight="1" x14ac:dyDescent="0.25">
      <c r="A103" s="44" t="s">
        <v>2668</v>
      </c>
      <c r="B103" s="44">
        <v>2</v>
      </c>
      <c r="C103" s="44" t="s">
        <v>2328</v>
      </c>
      <c r="D103" s="44" t="s">
        <v>1933</v>
      </c>
      <c r="E103" s="44"/>
      <c r="F103" s="45" t="s">
        <v>2472</v>
      </c>
      <c r="G103" s="44" t="s">
        <v>2018</v>
      </c>
      <c r="H103" s="44" t="s">
        <v>2290</v>
      </c>
      <c r="I103" s="44" t="s">
        <v>2291</v>
      </c>
      <c r="J103" s="44" t="s">
        <v>2310</v>
      </c>
      <c r="K103" s="68" t="s">
        <v>2431</v>
      </c>
      <c r="L103" s="69" t="s">
        <v>2432</v>
      </c>
      <c r="M103" s="70" t="s">
        <v>2669</v>
      </c>
      <c r="N103" s="68" t="s">
        <v>2670</v>
      </c>
      <c r="O103" s="44" t="s">
        <v>1933</v>
      </c>
      <c r="P103" s="44"/>
      <c r="Q103" s="44" t="s">
        <v>1933</v>
      </c>
      <c r="R103" s="44"/>
      <c r="S103" s="44" t="s">
        <v>1933</v>
      </c>
      <c r="T103" s="44"/>
      <c r="U103" s="44"/>
      <c r="V103" s="44"/>
      <c r="W103" s="44"/>
      <c r="X103" s="44"/>
      <c r="Y103" s="44"/>
      <c r="Z103" s="32" t="s">
        <v>2295</v>
      </c>
    </row>
    <row r="104" spans="1:26" ht="16.95" customHeight="1" x14ac:dyDescent="0.25">
      <c r="A104" s="36" t="s">
        <v>2671</v>
      </c>
      <c r="B104" s="36">
        <v>2</v>
      </c>
      <c r="C104" s="36" t="s">
        <v>2297</v>
      </c>
      <c r="D104" s="36"/>
      <c r="E104" s="36"/>
      <c r="F104" s="37" t="s">
        <v>2251</v>
      </c>
      <c r="G104" s="36" t="s">
        <v>2304</v>
      </c>
      <c r="H104" s="36" t="s">
        <v>2290</v>
      </c>
      <c r="I104" s="36" t="s">
        <v>2291</v>
      </c>
      <c r="J104" s="36" t="s">
        <v>2310</v>
      </c>
      <c r="K104" s="56" t="s">
        <v>2672</v>
      </c>
      <c r="L104" s="57" t="s">
        <v>2673</v>
      </c>
      <c r="M104" s="58" t="s">
        <v>2674</v>
      </c>
      <c r="N104" s="56" t="s">
        <v>2675</v>
      </c>
      <c r="O104" s="36"/>
      <c r="P104" s="36"/>
      <c r="Q104" s="36"/>
      <c r="R104" s="36"/>
      <c r="S104" s="36"/>
      <c r="T104" s="36"/>
      <c r="U104" s="36"/>
      <c r="V104" s="36" t="s">
        <v>1933</v>
      </c>
      <c r="W104" s="36" t="s">
        <v>1933</v>
      </c>
      <c r="X104" s="36"/>
      <c r="Y104" s="36"/>
      <c r="Z104" s="32" t="s">
        <v>2295</v>
      </c>
    </row>
    <row r="105" spans="1:26" ht="16.95" customHeight="1" x14ac:dyDescent="0.25">
      <c r="A105" s="36" t="s">
        <v>2676</v>
      </c>
      <c r="B105" s="36">
        <v>2</v>
      </c>
      <c r="C105" s="36" t="s">
        <v>2297</v>
      </c>
      <c r="D105" s="36"/>
      <c r="E105" s="36"/>
      <c r="F105" s="37" t="s">
        <v>2370</v>
      </c>
      <c r="G105" s="36" t="s">
        <v>2298</v>
      </c>
      <c r="H105" s="36" t="s">
        <v>2290</v>
      </c>
      <c r="I105" s="36" t="s">
        <v>2291</v>
      </c>
      <c r="J105" s="36"/>
      <c r="K105" s="56"/>
      <c r="L105" s="57" t="s">
        <v>2292</v>
      </c>
      <c r="M105" s="58" t="s">
        <v>2677</v>
      </c>
      <c r="N105" s="56" t="s">
        <v>2678</v>
      </c>
      <c r="O105" s="36"/>
      <c r="P105" s="36"/>
      <c r="Q105" s="36"/>
      <c r="R105" s="36"/>
      <c r="S105" s="36"/>
      <c r="T105" s="36" t="s">
        <v>1933</v>
      </c>
      <c r="U105" s="36"/>
      <c r="V105" s="36" t="s">
        <v>1933</v>
      </c>
      <c r="W105" s="36" t="s">
        <v>1933</v>
      </c>
      <c r="X105" s="36"/>
      <c r="Y105" s="36"/>
      <c r="Z105" s="32" t="s">
        <v>2295</v>
      </c>
    </row>
    <row r="106" spans="1:26" ht="16.95" customHeight="1" x14ac:dyDescent="0.25">
      <c r="A106" s="46" t="s">
        <v>2679</v>
      </c>
      <c r="B106" s="46">
        <v>2</v>
      </c>
      <c r="C106" s="46" t="s">
        <v>2334</v>
      </c>
      <c r="D106" s="46" t="s">
        <v>1933</v>
      </c>
      <c r="E106" s="46"/>
      <c r="F106" s="47" t="s">
        <v>2573</v>
      </c>
      <c r="G106" s="46" t="s">
        <v>2298</v>
      </c>
      <c r="H106" s="46" t="s">
        <v>2290</v>
      </c>
      <c r="I106" s="46" t="s">
        <v>2291</v>
      </c>
      <c r="J106" s="46" t="s">
        <v>2310</v>
      </c>
      <c r="K106" s="71" t="s">
        <v>2680</v>
      </c>
      <c r="L106" s="72" t="s">
        <v>2292</v>
      </c>
      <c r="M106" s="73" t="s">
        <v>2681</v>
      </c>
      <c r="N106" s="71" t="s">
        <v>2682</v>
      </c>
      <c r="O106" s="46"/>
      <c r="P106" s="46" t="s">
        <v>1933</v>
      </c>
      <c r="Q106" s="46" t="s">
        <v>1933</v>
      </c>
      <c r="R106" s="46"/>
      <c r="S106" s="46"/>
      <c r="T106" s="46"/>
      <c r="U106" s="46"/>
      <c r="V106" s="46" t="s">
        <v>1933</v>
      </c>
      <c r="W106" s="46"/>
      <c r="X106" s="46"/>
      <c r="Y106" s="46"/>
      <c r="Z106" s="32" t="s">
        <v>2295</v>
      </c>
    </row>
    <row r="107" spans="1:26" ht="16.95" customHeight="1" x14ac:dyDescent="0.25">
      <c r="A107" s="42" t="s">
        <v>2683</v>
      </c>
      <c r="B107" s="42">
        <v>2</v>
      </c>
      <c r="C107" s="42" t="s">
        <v>2315</v>
      </c>
      <c r="D107" s="42"/>
      <c r="E107" s="42"/>
      <c r="F107" s="43" t="s">
        <v>2370</v>
      </c>
      <c r="G107" s="42" t="s">
        <v>2304</v>
      </c>
      <c r="H107" s="42" t="s">
        <v>2290</v>
      </c>
      <c r="I107" s="42" t="s">
        <v>2291</v>
      </c>
      <c r="J107" s="42" t="s">
        <v>2310</v>
      </c>
      <c r="K107" s="65" t="s">
        <v>2684</v>
      </c>
      <c r="L107" s="66" t="s">
        <v>2338</v>
      </c>
      <c r="M107" s="67" t="s">
        <v>2685</v>
      </c>
      <c r="N107" s="65" t="s">
        <v>2686</v>
      </c>
      <c r="O107" s="42"/>
      <c r="P107" s="42"/>
      <c r="Q107" s="42" t="s">
        <v>1933</v>
      </c>
      <c r="R107" s="42"/>
      <c r="S107" s="42" t="s">
        <v>1933</v>
      </c>
      <c r="T107" s="42"/>
      <c r="U107" s="42"/>
      <c r="V107" s="42"/>
      <c r="W107" s="42"/>
      <c r="X107" s="42"/>
      <c r="Y107" s="42"/>
      <c r="Z107" s="32" t="s">
        <v>2295</v>
      </c>
    </row>
    <row r="108" spans="1:26" ht="16.95" customHeight="1" x14ac:dyDescent="0.25">
      <c r="A108" s="46" t="s">
        <v>2687</v>
      </c>
      <c r="B108" s="46">
        <v>2</v>
      </c>
      <c r="C108" s="46" t="s">
        <v>2334</v>
      </c>
      <c r="D108" s="46" t="s">
        <v>1933</v>
      </c>
      <c r="E108" s="46" t="s">
        <v>1933</v>
      </c>
      <c r="F108" s="47" t="s">
        <v>2472</v>
      </c>
      <c r="G108" s="46" t="s">
        <v>2304</v>
      </c>
      <c r="H108" s="46"/>
      <c r="I108" s="46" t="s">
        <v>2291</v>
      </c>
      <c r="J108" s="46"/>
      <c r="K108" s="71"/>
      <c r="L108" s="72" t="s">
        <v>2534</v>
      </c>
      <c r="M108" s="73" t="s">
        <v>2688</v>
      </c>
      <c r="N108" s="71" t="s">
        <v>2689</v>
      </c>
      <c r="O108" s="46"/>
      <c r="P108" s="46"/>
      <c r="Q108" s="46" t="s">
        <v>1933</v>
      </c>
      <c r="R108" s="46"/>
      <c r="S108" s="46" t="s">
        <v>1933</v>
      </c>
      <c r="T108" s="46"/>
      <c r="U108" s="46"/>
      <c r="V108" s="46"/>
      <c r="W108" s="46"/>
      <c r="X108" s="46"/>
      <c r="Y108" s="46"/>
      <c r="Z108" s="32" t="s">
        <v>2295</v>
      </c>
    </row>
    <row r="109" spans="1:26" ht="16.95" customHeight="1" x14ac:dyDescent="0.25">
      <c r="A109" s="42" t="s">
        <v>2690</v>
      </c>
      <c r="B109" s="42">
        <v>2</v>
      </c>
      <c r="C109" s="42" t="s">
        <v>2315</v>
      </c>
      <c r="D109" s="42"/>
      <c r="E109" s="42"/>
      <c r="F109" s="43" t="s">
        <v>2251</v>
      </c>
      <c r="G109" s="42" t="s">
        <v>2309</v>
      </c>
      <c r="H109" s="42" t="s">
        <v>2290</v>
      </c>
      <c r="I109" s="42"/>
      <c r="J109" s="42"/>
      <c r="K109" s="65"/>
      <c r="L109" s="66" t="s">
        <v>2343</v>
      </c>
      <c r="M109" s="67" t="s">
        <v>2691</v>
      </c>
      <c r="N109" s="65" t="s">
        <v>2692</v>
      </c>
      <c r="O109" s="42" t="s">
        <v>1933</v>
      </c>
      <c r="P109" s="42" t="s">
        <v>1933</v>
      </c>
      <c r="Q109" s="42"/>
      <c r="R109" s="42"/>
      <c r="S109" s="42"/>
      <c r="T109" s="42" t="s">
        <v>1933</v>
      </c>
      <c r="U109" s="42"/>
      <c r="V109" s="42" t="s">
        <v>1933</v>
      </c>
      <c r="W109" s="42"/>
      <c r="X109" s="42"/>
      <c r="Y109" s="42"/>
      <c r="Z109" s="32" t="s">
        <v>2295</v>
      </c>
    </row>
    <row r="110" spans="1:26" ht="16.95" customHeight="1" x14ac:dyDescent="0.25">
      <c r="A110" s="40" t="s">
        <v>2693</v>
      </c>
      <c r="B110" s="40">
        <v>2</v>
      </c>
      <c r="C110" s="40" t="s">
        <v>2308</v>
      </c>
      <c r="D110" s="40"/>
      <c r="E110" s="40" t="s">
        <v>1933</v>
      </c>
      <c r="F110" s="41" t="s">
        <v>2251</v>
      </c>
      <c r="G110" s="40" t="s">
        <v>2298</v>
      </c>
      <c r="H110" s="40" t="s">
        <v>2290</v>
      </c>
      <c r="I110" s="40"/>
      <c r="J110" s="40"/>
      <c r="K110" s="62"/>
      <c r="L110" s="63" t="s">
        <v>2299</v>
      </c>
      <c r="M110" s="64" t="s">
        <v>2694</v>
      </c>
      <c r="N110" s="62" t="s">
        <v>2695</v>
      </c>
      <c r="O110" s="40"/>
      <c r="P110" s="40"/>
      <c r="Q110" s="40"/>
      <c r="R110" s="40"/>
      <c r="S110" s="40"/>
      <c r="T110" s="40" t="s">
        <v>1933</v>
      </c>
      <c r="U110" s="40"/>
      <c r="V110" s="40" t="s">
        <v>1933</v>
      </c>
      <c r="W110" s="40" t="s">
        <v>1933</v>
      </c>
      <c r="X110" s="40"/>
      <c r="Y110" s="40"/>
      <c r="Z110" s="32" t="s">
        <v>2295</v>
      </c>
    </row>
    <row r="111" spans="1:26" ht="16.95" customHeight="1" x14ac:dyDescent="0.25">
      <c r="A111" s="44" t="s">
        <v>2696</v>
      </c>
      <c r="B111" s="44">
        <v>2</v>
      </c>
      <c r="C111" s="44" t="s">
        <v>2328</v>
      </c>
      <c r="D111" s="44"/>
      <c r="E111" s="44" t="s">
        <v>1933</v>
      </c>
      <c r="F111" s="45" t="s">
        <v>2251</v>
      </c>
      <c r="G111" s="44" t="s">
        <v>2289</v>
      </c>
      <c r="H111" s="44" t="s">
        <v>2290</v>
      </c>
      <c r="I111" s="44" t="s">
        <v>2291</v>
      </c>
      <c r="J111" s="44"/>
      <c r="K111" s="68"/>
      <c r="L111" s="69" t="s">
        <v>2299</v>
      </c>
      <c r="M111" s="70" t="s">
        <v>2697</v>
      </c>
      <c r="N111" s="68" t="s">
        <v>2698</v>
      </c>
      <c r="O111" s="44" t="s">
        <v>1933</v>
      </c>
      <c r="P111" s="44" t="s">
        <v>1933</v>
      </c>
      <c r="Q111" s="44"/>
      <c r="R111" s="44"/>
      <c r="S111" s="44"/>
      <c r="T111" s="44"/>
      <c r="U111" s="44"/>
      <c r="V111" s="44"/>
      <c r="W111" s="44"/>
      <c r="X111" s="44"/>
      <c r="Y111" s="44"/>
      <c r="Z111" s="32" t="s">
        <v>2295</v>
      </c>
    </row>
    <row r="112" spans="1:26" ht="16.95" customHeight="1" x14ac:dyDescent="0.25">
      <c r="A112" s="48" t="s">
        <v>2699</v>
      </c>
      <c r="B112" s="48">
        <v>2</v>
      </c>
      <c r="C112" s="48" t="s">
        <v>2342</v>
      </c>
      <c r="D112" s="48"/>
      <c r="E112" s="48" t="s">
        <v>1933</v>
      </c>
      <c r="F112" s="49" t="s">
        <v>2251</v>
      </c>
      <c r="G112" s="48" t="s">
        <v>2289</v>
      </c>
      <c r="H112" s="48" t="s">
        <v>2290</v>
      </c>
      <c r="I112" s="48" t="s">
        <v>2291</v>
      </c>
      <c r="J112" s="48" t="s">
        <v>2310</v>
      </c>
      <c r="K112" s="74" t="s">
        <v>2700</v>
      </c>
      <c r="L112" s="75" t="s">
        <v>2299</v>
      </c>
      <c r="M112" s="76" t="s">
        <v>2701</v>
      </c>
      <c r="N112" s="74" t="s">
        <v>2702</v>
      </c>
      <c r="O112" s="48" t="s">
        <v>1933</v>
      </c>
      <c r="P112" s="48"/>
      <c r="Q112" s="48"/>
      <c r="R112" s="48"/>
      <c r="S112" s="48"/>
      <c r="T112" s="48" t="s">
        <v>1933</v>
      </c>
      <c r="U112" s="48" t="s">
        <v>1933</v>
      </c>
      <c r="V112" s="48" t="s">
        <v>1933</v>
      </c>
      <c r="W112" s="48"/>
      <c r="X112" s="48"/>
      <c r="Y112" s="48"/>
      <c r="Z112" s="32" t="s">
        <v>2295</v>
      </c>
    </row>
    <row r="113" spans="1:26" ht="16.95" customHeight="1" x14ac:dyDescent="0.25">
      <c r="A113" s="34" t="s">
        <v>2703</v>
      </c>
      <c r="B113" s="34">
        <v>2</v>
      </c>
      <c r="C113" s="34" t="s">
        <v>2288</v>
      </c>
      <c r="D113" s="34"/>
      <c r="E113" s="34"/>
      <c r="F113" s="35" t="s">
        <v>2251</v>
      </c>
      <c r="G113" s="34" t="s">
        <v>2304</v>
      </c>
      <c r="H113" s="34" t="s">
        <v>2290</v>
      </c>
      <c r="I113" s="34" t="s">
        <v>2291</v>
      </c>
      <c r="J113" s="34" t="s">
        <v>2310</v>
      </c>
      <c r="K113" s="53" t="s">
        <v>2704</v>
      </c>
      <c r="L113" s="54" t="s">
        <v>2705</v>
      </c>
      <c r="M113" s="55" t="s">
        <v>2706</v>
      </c>
      <c r="N113" s="53" t="s">
        <v>2707</v>
      </c>
      <c r="O113" s="34"/>
      <c r="P113" s="34" t="s">
        <v>1933</v>
      </c>
      <c r="Q113" s="34" t="s">
        <v>1933</v>
      </c>
      <c r="R113" s="34"/>
      <c r="S113" s="34"/>
      <c r="T113" s="34"/>
      <c r="U113" s="34"/>
      <c r="V113" s="34" t="s">
        <v>1933</v>
      </c>
      <c r="W113" s="34" t="s">
        <v>1933</v>
      </c>
      <c r="X113" s="34"/>
      <c r="Y113" s="34"/>
      <c r="Z113" s="32" t="s">
        <v>2295</v>
      </c>
    </row>
    <row r="114" spans="1:26" ht="16.95" customHeight="1" x14ac:dyDescent="0.25">
      <c r="A114" s="42" t="s">
        <v>2708</v>
      </c>
      <c r="B114" s="42">
        <v>2</v>
      </c>
      <c r="C114" s="42" t="s">
        <v>2315</v>
      </c>
      <c r="D114" s="42"/>
      <c r="E114" s="42"/>
      <c r="F114" s="43" t="s">
        <v>2251</v>
      </c>
      <c r="G114" s="42" t="s">
        <v>2304</v>
      </c>
      <c r="H114" s="42" t="s">
        <v>2290</v>
      </c>
      <c r="I114" s="42" t="s">
        <v>2291</v>
      </c>
      <c r="J114" s="42" t="s">
        <v>2310</v>
      </c>
      <c r="K114" s="65" t="s">
        <v>2709</v>
      </c>
      <c r="L114" s="66" t="s">
        <v>2427</v>
      </c>
      <c r="M114" s="67" t="s">
        <v>2710</v>
      </c>
      <c r="N114" s="65" t="s">
        <v>2711</v>
      </c>
      <c r="O114" s="42"/>
      <c r="P114" s="42"/>
      <c r="Q114" s="42"/>
      <c r="R114" s="42"/>
      <c r="S114" s="42" t="s">
        <v>1933</v>
      </c>
      <c r="T114" s="42"/>
      <c r="U114" s="42"/>
      <c r="V114" s="42"/>
      <c r="W114" s="42"/>
      <c r="X114" s="42"/>
      <c r="Y114" s="42"/>
      <c r="Z114" s="32" t="s">
        <v>2295</v>
      </c>
    </row>
    <row r="115" spans="1:26" ht="16.95" customHeight="1" x14ac:dyDescent="0.25">
      <c r="A115" s="44" t="s">
        <v>2712</v>
      </c>
      <c r="B115" s="44">
        <v>2</v>
      </c>
      <c r="C115" s="44" t="s">
        <v>2328</v>
      </c>
      <c r="D115" s="44"/>
      <c r="E115" s="44" t="s">
        <v>1933</v>
      </c>
      <c r="F115" s="45" t="s">
        <v>2251</v>
      </c>
      <c r="G115" s="44" t="s">
        <v>2309</v>
      </c>
      <c r="H115" s="44" t="s">
        <v>2290</v>
      </c>
      <c r="I115" s="44" t="s">
        <v>2291</v>
      </c>
      <c r="J115" s="44"/>
      <c r="K115" s="68"/>
      <c r="L115" s="69" t="s">
        <v>2299</v>
      </c>
      <c r="M115" s="70" t="s">
        <v>2713</v>
      </c>
      <c r="N115" s="68" t="s">
        <v>2714</v>
      </c>
      <c r="O115" s="44" t="s">
        <v>1933</v>
      </c>
      <c r="P115" s="44"/>
      <c r="Q115" s="44"/>
      <c r="R115" s="44"/>
      <c r="S115" s="44"/>
      <c r="T115" s="44" t="s">
        <v>1933</v>
      </c>
      <c r="U115" s="44" t="s">
        <v>1933</v>
      </c>
      <c r="V115" s="44" t="s">
        <v>1933</v>
      </c>
      <c r="W115" s="44"/>
      <c r="X115" s="44"/>
      <c r="Y115" s="44"/>
      <c r="Z115" s="32" t="s">
        <v>2295</v>
      </c>
    </row>
    <row r="116" spans="1:26" ht="16.95" customHeight="1" x14ac:dyDescent="0.25">
      <c r="A116" s="34" t="s">
        <v>2715</v>
      </c>
      <c r="B116" s="34">
        <v>2</v>
      </c>
      <c r="C116" s="34" t="s">
        <v>2288</v>
      </c>
      <c r="D116" s="34"/>
      <c r="E116" s="34" t="s">
        <v>1933</v>
      </c>
      <c r="F116" s="35" t="s">
        <v>2251</v>
      </c>
      <c r="G116" s="34" t="s">
        <v>2289</v>
      </c>
      <c r="H116" s="34" t="s">
        <v>2290</v>
      </c>
      <c r="I116" s="34" t="s">
        <v>2291</v>
      </c>
      <c r="J116" s="34" t="s">
        <v>2310</v>
      </c>
      <c r="K116" s="53" t="s">
        <v>2716</v>
      </c>
      <c r="L116" s="54" t="s">
        <v>2484</v>
      </c>
      <c r="M116" s="55" t="s">
        <v>2717</v>
      </c>
      <c r="N116" s="53" t="s">
        <v>2718</v>
      </c>
      <c r="O116" s="34"/>
      <c r="P116" s="34"/>
      <c r="Q116" s="34"/>
      <c r="R116" s="34"/>
      <c r="S116" s="34"/>
      <c r="T116" s="34" t="s">
        <v>1933</v>
      </c>
      <c r="U116" s="34" t="s">
        <v>1933</v>
      </c>
      <c r="V116" s="34" t="s">
        <v>1933</v>
      </c>
      <c r="W116" s="34"/>
      <c r="X116" s="34"/>
      <c r="Y116" s="34"/>
      <c r="Z116" s="32" t="s">
        <v>2295</v>
      </c>
    </row>
    <row r="117" spans="1:26" ht="16.95" customHeight="1" x14ac:dyDescent="0.25">
      <c r="A117" s="42" t="s">
        <v>2055</v>
      </c>
      <c r="B117" s="42">
        <v>2</v>
      </c>
      <c r="C117" s="42" t="s">
        <v>2315</v>
      </c>
      <c r="D117" s="42"/>
      <c r="E117" s="42"/>
      <c r="F117" s="43" t="s">
        <v>2251</v>
      </c>
      <c r="G117" s="42" t="s">
        <v>2304</v>
      </c>
      <c r="H117" s="42" t="s">
        <v>2290</v>
      </c>
      <c r="I117" s="42" t="s">
        <v>2291</v>
      </c>
      <c r="J117" s="42" t="s">
        <v>2310</v>
      </c>
      <c r="K117" s="65" t="s">
        <v>2719</v>
      </c>
      <c r="L117" s="66" t="s">
        <v>2427</v>
      </c>
      <c r="M117" s="67" t="s">
        <v>2720</v>
      </c>
      <c r="N117" s="65" t="s">
        <v>2721</v>
      </c>
      <c r="O117" s="42"/>
      <c r="P117" s="42"/>
      <c r="Q117" s="42" t="s">
        <v>1933</v>
      </c>
      <c r="R117" s="42"/>
      <c r="S117" s="42" t="s">
        <v>1933</v>
      </c>
      <c r="T117" s="42" t="s">
        <v>1933</v>
      </c>
      <c r="U117" s="42"/>
      <c r="V117" s="42" t="s">
        <v>1933</v>
      </c>
      <c r="W117" s="42" t="s">
        <v>1933</v>
      </c>
      <c r="X117" s="42"/>
      <c r="Y117" s="42"/>
      <c r="Z117" s="32" t="s">
        <v>2295</v>
      </c>
    </row>
    <row r="118" spans="1:26" ht="16.95" customHeight="1" x14ac:dyDescent="0.25">
      <c r="A118" s="46" t="s">
        <v>2722</v>
      </c>
      <c r="B118" s="46">
        <v>2</v>
      </c>
      <c r="C118" s="46" t="s">
        <v>2334</v>
      </c>
      <c r="D118" s="46"/>
      <c r="E118" s="46" t="s">
        <v>1933</v>
      </c>
      <c r="F118" s="47" t="s">
        <v>2251</v>
      </c>
      <c r="G118" s="46" t="s">
        <v>2298</v>
      </c>
      <c r="H118" s="46" t="s">
        <v>2290</v>
      </c>
      <c r="I118" s="46" t="s">
        <v>2291</v>
      </c>
      <c r="J118" s="46" t="s">
        <v>2310</v>
      </c>
      <c r="K118" s="71" t="s">
        <v>2723</v>
      </c>
      <c r="L118" s="72" t="s">
        <v>2299</v>
      </c>
      <c r="M118" s="73" t="s">
        <v>2724</v>
      </c>
      <c r="N118" s="71" t="s">
        <v>2725</v>
      </c>
      <c r="O118" s="46" t="s">
        <v>1933</v>
      </c>
      <c r="P118" s="46"/>
      <c r="Q118" s="46"/>
      <c r="R118" s="46"/>
      <c r="S118" s="46"/>
      <c r="T118" s="46" t="s">
        <v>1933</v>
      </c>
      <c r="U118" s="46"/>
      <c r="V118" s="46" t="s">
        <v>1933</v>
      </c>
      <c r="W118" s="46"/>
      <c r="X118" s="46"/>
      <c r="Y118" s="46"/>
      <c r="Z118" s="32" t="s">
        <v>2295</v>
      </c>
    </row>
    <row r="119" spans="1:26" ht="16.95" customHeight="1" x14ac:dyDescent="0.25">
      <c r="A119" s="42" t="s">
        <v>2726</v>
      </c>
      <c r="B119" s="42">
        <v>2</v>
      </c>
      <c r="C119" s="42" t="s">
        <v>2315</v>
      </c>
      <c r="D119" s="42"/>
      <c r="E119" s="42" t="s">
        <v>1933</v>
      </c>
      <c r="F119" s="43" t="s">
        <v>2370</v>
      </c>
      <c r="G119" s="42" t="s">
        <v>2304</v>
      </c>
      <c r="H119" s="42" t="s">
        <v>2290</v>
      </c>
      <c r="I119" s="42" t="s">
        <v>2291</v>
      </c>
      <c r="J119" s="42" t="s">
        <v>2310</v>
      </c>
      <c r="K119" s="65" t="s">
        <v>2727</v>
      </c>
      <c r="L119" s="66" t="s">
        <v>2299</v>
      </c>
      <c r="M119" s="67" t="s">
        <v>2728</v>
      </c>
      <c r="N119" s="65" t="s">
        <v>2729</v>
      </c>
      <c r="O119" s="42"/>
      <c r="P119" s="42"/>
      <c r="Q119" s="42"/>
      <c r="R119" s="42"/>
      <c r="S119" s="42"/>
      <c r="T119" s="42" t="s">
        <v>1933</v>
      </c>
      <c r="U119" s="42"/>
      <c r="V119" s="42" t="s">
        <v>1933</v>
      </c>
      <c r="W119" s="42" t="s">
        <v>1933</v>
      </c>
      <c r="X119" s="42"/>
      <c r="Y119" s="42"/>
      <c r="Z119" s="32" t="s">
        <v>2295</v>
      </c>
    </row>
    <row r="120" spans="1:26" ht="16.95" customHeight="1" x14ac:dyDescent="0.25">
      <c r="A120" s="42" t="s">
        <v>2730</v>
      </c>
      <c r="B120" s="42">
        <v>2</v>
      </c>
      <c r="C120" s="42" t="s">
        <v>2315</v>
      </c>
      <c r="D120" s="42"/>
      <c r="E120" s="42" t="s">
        <v>1933</v>
      </c>
      <c r="F120" s="43" t="s">
        <v>2251</v>
      </c>
      <c r="G120" s="42" t="s">
        <v>2304</v>
      </c>
      <c r="H120" s="42" t="s">
        <v>2290</v>
      </c>
      <c r="I120" s="42" t="s">
        <v>2291</v>
      </c>
      <c r="J120" s="42" t="s">
        <v>2310</v>
      </c>
      <c r="K120" s="65" t="s">
        <v>2731</v>
      </c>
      <c r="L120" s="66" t="s">
        <v>2534</v>
      </c>
      <c r="M120" s="67" t="s">
        <v>2732</v>
      </c>
      <c r="N120" s="65" t="s">
        <v>2733</v>
      </c>
      <c r="O120" s="42" t="s">
        <v>1933</v>
      </c>
      <c r="P120" s="42" t="s">
        <v>1933</v>
      </c>
      <c r="Q120" s="42" t="s">
        <v>1933</v>
      </c>
      <c r="R120" s="42"/>
      <c r="S120" s="42" t="s">
        <v>1933</v>
      </c>
      <c r="T120" s="42" t="s">
        <v>1933</v>
      </c>
      <c r="U120" s="42"/>
      <c r="V120" s="42" t="s">
        <v>1933</v>
      </c>
      <c r="W120" s="42" t="s">
        <v>1933</v>
      </c>
      <c r="X120" s="42"/>
      <c r="Y120" s="42"/>
      <c r="Z120" s="32" t="s">
        <v>2295</v>
      </c>
    </row>
    <row r="121" spans="1:26" ht="16.95" customHeight="1" x14ac:dyDescent="0.25">
      <c r="A121" s="42" t="s">
        <v>2734</v>
      </c>
      <c r="B121" s="42">
        <v>2</v>
      </c>
      <c r="C121" s="42" t="s">
        <v>2315</v>
      </c>
      <c r="D121" s="42"/>
      <c r="E121" s="42" t="s">
        <v>1933</v>
      </c>
      <c r="F121" s="43" t="s">
        <v>2251</v>
      </c>
      <c r="G121" s="42" t="s">
        <v>2018</v>
      </c>
      <c r="H121" s="42" t="s">
        <v>2290</v>
      </c>
      <c r="I121" s="42" t="s">
        <v>2291</v>
      </c>
      <c r="J121" s="42" t="s">
        <v>2310</v>
      </c>
      <c r="K121" s="65" t="s">
        <v>2735</v>
      </c>
      <c r="L121" s="66" t="s">
        <v>2299</v>
      </c>
      <c r="M121" s="67" t="s">
        <v>2736</v>
      </c>
      <c r="N121" s="65" t="s">
        <v>2737</v>
      </c>
      <c r="O121" s="42" t="s">
        <v>1933</v>
      </c>
      <c r="P121" s="42"/>
      <c r="Q121" s="42" t="s">
        <v>1933</v>
      </c>
      <c r="R121" s="42"/>
      <c r="S121" s="42"/>
      <c r="T121" s="42" t="s">
        <v>1933</v>
      </c>
      <c r="U121" s="42"/>
      <c r="V121" s="42" t="s">
        <v>1933</v>
      </c>
      <c r="W121" s="42" t="s">
        <v>1933</v>
      </c>
      <c r="X121" s="42"/>
      <c r="Y121" s="42"/>
      <c r="Z121" s="32" t="s">
        <v>2295</v>
      </c>
    </row>
    <row r="122" spans="1:26" ht="16.95" customHeight="1" x14ac:dyDescent="0.25">
      <c r="A122" s="44" t="s">
        <v>2738</v>
      </c>
      <c r="B122" s="44">
        <v>2</v>
      </c>
      <c r="C122" s="44" t="s">
        <v>2328</v>
      </c>
      <c r="D122" s="44"/>
      <c r="E122" s="44" t="s">
        <v>1933</v>
      </c>
      <c r="F122" s="45" t="s">
        <v>2251</v>
      </c>
      <c r="G122" s="44" t="s">
        <v>2289</v>
      </c>
      <c r="H122" s="44" t="s">
        <v>2290</v>
      </c>
      <c r="I122" s="44" t="s">
        <v>2291</v>
      </c>
      <c r="J122" s="44"/>
      <c r="K122" s="68"/>
      <c r="L122" s="69" t="s">
        <v>2299</v>
      </c>
      <c r="M122" s="70" t="s">
        <v>2739</v>
      </c>
      <c r="N122" s="68" t="s">
        <v>2740</v>
      </c>
      <c r="O122" s="44" t="s">
        <v>1933</v>
      </c>
      <c r="P122" s="44"/>
      <c r="Q122" s="44"/>
      <c r="R122" s="44"/>
      <c r="S122" s="44"/>
      <c r="T122" s="44"/>
      <c r="U122" s="44" t="s">
        <v>1933</v>
      </c>
      <c r="V122" s="44"/>
      <c r="W122" s="44"/>
      <c r="X122" s="44"/>
      <c r="Y122" s="44"/>
      <c r="Z122" s="32" t="s">
        <v>2295</v>
      </c>
    </row>
    <row r="123" spans="1:26" ht="16.95" customHeight="1" x14ac:dyDescent="0.25">
      <c r="A123" s="48" t="s">
        <v>2741</v>
      </c>
      <c r="B123" s="48">
        <v>2</v>
      </c>
      <c r="C123" s="48" t="s">
        <v>2342</v>
      </c>
      <c r="D123" s="48"/>
      <c r="E123" s="48"/>
      <c r="F123" s="49" t="s">
        <v>2251</v>
      </c>
      <c r="G123" s="48" t="s">
        <v>2018</v>
      </c>
      <c r="H123" s="48" t="s">
        <v>2290</v>
      </c>
      <c r="I123" s="48" t="s">
        <v>2291</v>
      </c>
      <c r="J123" s="48"/>
      <c r="K123" s="74"/>
      <c r="L123" s="75" t="s">
        <v>2292</v>
      </c>
      <c r="M123" s="76" t="s">
        <v>2742</v>
      </c>
      <c r="N123" s="74" t="s">
        <v>2743</v>
      </c>
      <c r="O123" s="48"/>
      <c r="P123" s="48"/>
      <c r="Q123" s="48"/>
      <c r="R123" s="48" t="s">
        <v>1933</v>
      </c>
      <c r="S123" s="48"/>
      <c r="T123" s="48"/>
      <c r="U123" s="48"/>
      <c r="V123" s="48"/>
      <c r="W123" s="48"/>
      <c r="X123" s="48"/>
      <c r="Y123" s="48"/>
      <c r="Z123" s="32" t="s">
        <v>2295</v>
      </c>
    </row>
    <row r="124" spans="1:26" ht="16.95" customHeight="1" x14ac:dyDescent="0.25">
      <c r="A124" s="46" t="s">
        <v>2744</v>
      </c>
      <c r="B124" s="46">
        <v>2</v>
      </c>
      <c r="C124" s="46" t="s">
        <v>2334</v>
      </c>
      <c r="D124" s="46"/>
      <c r="E124" s="46"/>
      <c r="F124" s="47" t="s">
        <v>2251</v>
      </c>
      <c r="G124" s="46" t="s">
        <v>2309</v>
      </c>
      <c r="H124" s="46" t="s">
        <v>2290</v>
      </c>
      <c r="I124" s="46" t="s">
        <v>2291</v>
      </c>
      <c r="J124" s="46"/>
      <c r="K124" s="71"/>
      <c r="L124" s="72" t="s">
        <v>2292</v>
      </c>
      <c r="M124" s="73" t="s">
        <v>2745</v>
      </c>
      <c r="N124" s="71" t="s">
        <v>2746</v>
      </c>
      <c r="O124" s="46"/>
      <c r="P124" s="46" t="s">
        <v>1933</v>
      </c>
      <c r="Q124" s="46" t="s">
        <v>1933</v>
      </c>
      <c r="R124" s="46"/>
      <c r="S124" s="46" t="s">
        <v>1933</v>
      </c>
      <c r="T124" s="46"/>
      <c r="U124" s="46"/>
      <c r="V124" s="46"/>
      <c r="W124" s="46"/>
      <c r="X124" s="46"/>
      <c r="Y124" s="46"/>
      <c r="Z124" s="32" t="s">
        <v>2295</v>
      </c>
    </row>
    <row r="125" spans="1:26" ht="16.95" customHeight="1" x14ac:dyDescent="0.25">
      <c r="A125" s="34" t="s">
        <v>2747</v>
      </c>
      <c r="B125" s="34">
        <v>2</v>
      </c>
      <c r="C125" s="34" t="s">
        <v>2288</v>
      </c>
      <c r="D125" s="34"/>
      <c r="E125" s="34" t="s">
        <v>1933</v>
      </c>
      <c r="F125" s="35" t="s">
        <v>2370</v>
      </c>
      <c r="G125" s="34" t="s">
        <v>2298</v>
      </c>
      <c r="H125" s="34" t="s">
        <v>2290</v>
      </c>
      <c r="I125" s="34" t="s">
        <v>2291</v>
      </c>
      <c r="J125" s="34" t="s">
        <v>2310</v>
      </c>
      <c r="K125" s="53" t="s">
        <v>2748</v>
      </c>
      <c r="L125" s="54" t="s">
        <v>2484</v>
      </c>
      <c r="M125" s="55" t="s">
        <v>2749</v>
      </c>
      <c r="N125" s="53" t="s">
        <v>2750</v>
      </c>
      <c r="O125" s="34"/>
      <c r="P125" s="34"/>
      <c r="Q125" s="34" t="s">
        <v>1933</v>
      </c>
      <c r="R125" s="34"/>
      <c r="S125" s="34"/>
      <c r="T125" s="34" t="s">
        <v>1933</v>
      </c>
      <c r="U125" s="34"/>
      <c r="V125" s="34"/>
      <c r="W125" s="34"/>
      <c r="X125" s="34"/>
      <c r="Y125" s="34"/>
      <c r="Z125" s="32" t="s">
        <v>2295</v>
      </c>
    </row>
    <row r="126" spans="1:26" ht="16.95" customHeight="1" x14ac:dyDescent="0.25">
      <c r="A126" s="48" t="s">
        <v>2751</v>
      </c>
      <c r="B126" s="48">
        <v>2</v>
      </c>
      <c r="C126" s="48" t="s">
        <v>2342</v>
      </c>
      <c r="D126" s="48"/>
      <c r="E126" s="48" t="s">
        <v>1933</v>
      </c>
      <c r="F126" s="49" t="s">
        <v>2251</v>
      </c>
      <c r="G126" s="48" t="s">
        <v>2289</v>
      </c>
      <c r="H126" s="48" t="s">
        <v>2290</v>
      </c>
      <c r="I126" s="48" t="s">
        <v>2291</v>
      </c>
      <c r="J126" s="48" t="s">
        <v>2310</v>
      </c>
      <c r="K126" s="74" t="s">
        <v>2752</v>
      </c>
      <c r="L126" s="75" t="s">
        <v>2299</v>
      </c>
      <c r="M126" s="76" t="s">
        <v>2753</v>
      </c>
      <c r="N126" s="74" t="s">
        <v>2754</v>
      </c>
      <c r="O126" s="48"/>
      <c r="P126" s="48"/>
      <c r="Q126" s="48" t="s">
        <v>1933</v>
      </c>
      <c r="R126" s="48"/>
      <c r="S126" s="48"/>
      <c r="T126" s="48" t="s">
        <v>1933</v>
      </c>
      <c r="U126" s="48"/>
      <c r="V126" s="48" t="s">
        <v>1933</v>
      </c>
      <c r="W126" s="48"/>
      <c r="X126" s="48"/>
      <c r="Y126" s="48"/>
      <c r="Z126" s="32" t="s">
        <v>2295</v>
      </c>
    </row>
    <row r="127" spans="1:26" ht="16.95" customHeight="1" x14ac:dyDescent="0.25">
      <c r="A127" s="38" t="s">
        <v>2755</v>
      </c>
      <c r="B127" s="38">
        <v>2</v>
      </c>
      <c r="C127" s="38" t="s">
        <v>2303</v>
      </c>
      <c r="D127" s="38" t="s">
        <v>4633</v>
      </c>
      <c r="E127" s="38"/>
      <c r="F127" s="39" t="s">
        <v>2472</v>
      </c>
      <c r="G127" s="38" t="s">
        <v>2304</v>
      </c>
      <c r="H127" s="38" t="s">
        <v>2290</v>
      </c>
      <c r="I127" s="38" t="s">
        <v>2291</v>
      </c>
      <c r="J127" s="38" t="s">
        <v>2310</v>
      </c>
      <c r="K127" s="59" t="s">
        <v>2756</v>
      </c>
      <c r="L127" s="60" t="s">
        <v>2579</v>
      </c>
      <c r="M127" s="61" t="s">
        <v>2757</v>
      </c>
      <c r="N127" s="59" t="s">
        <v>2758</v>
      </c>
      <c r="O127" s="38"/>
      <c r="P127" s="38" t="s">
        <v>1933</v>
      </c>
      <c r="Q127" s="38"/>
      <c r="R127" s="38" t="s">
        <v>1933</v>
      </c>
      <c r="S127" s="38"/>
      <c r="T127" s="38"/>
      <c r="U127" s="38"/>
      <c r="V127" s="38" t="s">
        <v>1933</v>
      </c>
      <c r="W127" s="38"/>
      <c r="X127" s="38"/>
      <c r="Y127" s="38"/>
      <c r="Z127" s="32" t="s">
        <v>2295</v>
      </c>
    </row>
    <row r="128" spans="1:26" ht="16.95" customHeight="1" x14ac:dyDescent="0.25">
      <c r="A128" s="34" t="s">
        <v>2759</v>
      </c>
      <c r="B128" s="34">
        <v>2</v>
      </c>
      <c r="C128" s="34" t="s">
        <v>2288</v>
      </c>
      <c r="D128" s="34"/>
      <c r="E128" s="34" t="s">
        <v>1933</v>
      </c>
      <c r="F128" s="35" t="s">
        <v>2251</v>
      </c>
      <c r="G128" s="34" t="s">
        <v>2298</v>
      </c>
      <c r="H128" s="34" t="s">
        <v>2290</v>
      </c>
      <c r="I128" s="34" t="s">
        <v>2291</v>
      </c>
      <c r="J128" s="34" t="s">
        <v>2310</v>
      </c>
      <c r="K128" s="53" t="s">
        <v>2760</v>
      </c>
      <c r="L128" s="54" t="s">
        <v>2299</v>
      </c>
      <c r="M128" s="55" t="s">
        <v>2761</v>
      </c>
      <c r="N128" s="53" t="s">
        <v>2762</v>
      </c>
      <c r="O128" s="34"/>
      <c r="P128" s="34"/>
      <c r="Q128" s="34" t="s">
        <v>1933</v>
      </c>
      <c r="R128" s="34"/>
      <c r="S128" s="34" t="s">
        <v>1933</v>
      </c>
      <c r="T128" s="34" t="s">
        <v>1933</v>
      </c>
      <c r="U128" s="34"/>
      <c r="V128" s="34" t="s">
        <v>1933</v>
      </c>
      <c r="W128" s="34"/>
      <c r="X128" s="34"/>
      <c r="Y128" s="34"/>
      <c r="Z128" s="32" t="s">
        <v>2295</v>
      </c>
    </row>
    <row r="129" spans="1:26" ht="16.95" customHeight="1" x14ac:dyDescent="0.25">
      <c r="A129" s="42" t="s">
        <v>2763</v>
      </c>
      <c r="B129" s="42">
        <v>2</v>
      </c>
      <c r="C129" s="42" t="s">
        <v>2315</v>
      </c>
      <c r="D129" s="42"/>
      <c r="E129" s="42" t="s">
        <v>1933</v>
      </c>
      <c r="F129" s="43" t="s">
        <v>2251</v>
      </c>
      <c r="G129" s="42" t="s">
        <v>2289</v>
      </c>
      <c r="H129" s="42" t="s">
        <v>2290</v>
      </c>
      <c r="I129" s="42" t="s">
        <v>2291</v>
      </c>
      <c r="J129" s="42" t="s">
        <v>2310</v>
      </c>
      <c r="K129" s="65" t="s">
        <v>2764</v>
      </c>
      <c r="L129" s="66" t="s">
        <v>2299</v>
      </c>
      <c r="M129" s="67" t="s">
        <v>2765</v>
      </c>
      <c r="N129" s="65" t="s">
        <v>2766</v>
      </c>
      <c r="O129" s="42" t="s">
        <v>1933</v>
      </c>
      <c r="P129" s="42"/>
      <c r="Q129" s="42" t="s">
        <v>1933</v>
      </c>
      <c r="R129" s="42"/>
      <c r="S129" s="42"/>
      <c r="T129" s="42"/>
      <c r="U129" s="42"/>
      <c r="V129" s="42"/>
      <c r="W129" s="42" t="s">
        <v>1933</v>
      </c>
      <c r="X129" s="42"/>
      <c r="Y129" s="42"/>
      <c r="Z129" s="32" t="s">
        <v>2295</v>
      </c>
    </row>
    <row r="130" spans="1:26" ht="16.95" customHeight="1" x14ac:dyDescent="0.25">
      <c r="A130" s="44" t="s">
        <v>2767</v>
      </c>
      <c r="B130" s="44">
        <v>2</v>
      </c>
      <c r="C130" s="44" t="s">
        <v>2328</v>
      </c>
      <c r="D130" s="44"/>
      <c r="E130" s="44" t="s">
        <v>1933</v>
      </c>
      <c r="F130" s="45" t="s">
        <v>2251</v>
      </c>
      <c r="G130" s="44" t="s">
        <v>2289</v>
      </c>
      <c r="H130" s="44" t="s">
        <v>4636</v>
      </c>
      <c r="I130" s="44" t="s">
        <v>2291</v>
      </c>
      <c r="J130" s="44" t="s">
        <v>2310</v>
      </c>
      <c r="K130" s="68" t="s">
        <v>2768</v>
      </c>
      <c r="L130" s="69" t="s">
        <v>2299</v>
      </c>
      <c r="M130" s="70" t="s">
        <v>2769</v>
      </c>
      <c r="N130" s="68" t="s">
        <v>2770</v>
      </c>
      <c r="O130" s="44" t="s">
        <v>1933</v>
      </c>
      <c r="P130" s="44" t="s">
        <v>1933</v>
      </c>
      <c r="Q130" s="44" t="s">
        <v>1933</v>
      </c>
      <c r="R130" s="44"/>
      <c r="S130" s="44"/>
      <c r="T130" s="44" t="s">
        <v>1933</v>
      </c>
      <c r="U130" s="44" t="s">
        <v>1933</v>
      </c>
      <c r="V130" s="44" t="s">
        <v>1933</v>
      </c>
      <c r="W130" s="44"/>
      <c r="X130" s="44"/>
      <c r="Y130" s="44"/>
      <c r="Z130" s="32" t="s">
        <v>2295</v>
      </c>
    </row>
    <row r="131" spans="1:26" ht="16.95" customHeight="1" x14ac:dyDescent="0.25">
      <c r="A131" s="48" t="s">
        <v>4632</v>
      </c>
      <c r="B131" s="48">
        <v>2</v>
      </c>
      <c r="C131" s="48" t="s">
        <v>2342</v>
      </c>
      <c r="D131" s="48" t="s">
        <v>1933</v>
      </c>
      <c r="E131" s="48"/>
      <c r="F131" s="49" t="s">
        <v>4634</v>
      </c>
      <c r="G131" s="48" t="s">
        <v>4635</v>
      </c>
      <c r="H131" s="48" t="s">
        <v>2290</v>
      </c>
      <c r="I131" s="48" t="s">
        <v>2291</v>
      </c>
      <c r="J131" s="48" t="s">
        <v>2310</v>
      </c>
      <c r="K131" s="74" t="s">
        <v>4637</v>
      </c>
      <c r="L131" s="75" t="s">
        <v>2292</v>
      </c>
      <c r="M131" s="76" t="s">
        <v>4638</v>
      </c>
      <c r="N131" s="74" t="s">
        <v>4639</v>
      </c>
      <c r="O131" s="48"/>
      <c r="P131" s="48"/>
      <c r="Q131" s="48"/>
      <c r="R131" s="48"/>
      <c r="S131" s="48"/>
      <c r="T131" s="48"/>
      <c r="U131" s="48"/>
      <c r="V131" s="48"/>
      <c r="W131" s="48" t="s">
        <v>1933</v>
      </c>
      <c r="X131" s="48"/>
      <c r="Y131" s="48"/>
      <c r="Z131" s="32" t="s">
        <v>2295</v>
      </c>
    </row>
    <row r="132" spans="1:26" ht="16.95" customHeight="1" x14ac:dyDescent="0.25">
      <c r="A132" s="40" t="s">
        <v>2771</v>
      </c>
      <c r="B132" s="40">
        <v>2</v>
      </c>
      <c r="C132" s="40" t="s">
        <v>2308</v>
      </c>
      <c r="D132" s="40"/>
      <c r="E132" s="40" t="s">
        <v>1933</v>
      </c>
      <c r="F132" s="41" t="s">
        <v>2251</v>
      </c>
      <c r="G132" s="40" t="s">
        <v>2304</v>
      </c>
      <c r="H132" s="40" t="s">
        <v>2290</v>
      </c>
      <c r="I132" s="40" t="s">
        <v>2291</v>
      </c>
      <c r="J132" s="40" t="s">
        <v>2310</v>
      </c>
      <c r="K132" s="62" t="s">
        <v>2772</v>
      </c>
      <c r="L132" s="63" t="s">
        <v>2534</v>
      </c>
      <c r="M132" s="64" t="s">
        <v>2773</v>
      </c>
      <c r="N132" s="62" t="s">
        <v>2774</v>
      </c>
      <c r="O132" s="40" t="s">
        <v>1933</v>
      </c>
      <c r="P132" s="40"/>
      <c r="Q132" s="40"/>
      <c r="R132" s="40"/>
      <c r="S132" s="40"/>
      <c r="T132" s="40" t="s">
        <v>1933</v>
      </c>
      <c r="U132" s="40" t="s">
        <v>1933</v>
      </c>
      <c r="V132" s="40" t="s">
        <v>1933</v>
      </c>
      <c r="W132" s="40" t="s">
        <v>1933</v>
      </c>
      <c r="X132" s="40"/>
      <c r="Y132" s="40"/>
      <c r="Z132" s="32" t="s">
        <v>2295</v>
      </c>
    </row>
    <row r="133" spans="1:26" ht="16.95" customHeight="1" x14ac:dyDescent="0.25">
      <c r="A133" s="42" t="s">
        <v>2775</v>
      </c>
      <c r="B133" s="42">
        <v>2</v>
      </c>
      <c r="C133" s="42" t="s">
        <v>2315</v>
      </c>
      <c r="D133" s="42"/>
      <c r="E133" s="42"/>
      <c r="F133" s="43" t="s">
        <v>2251</v>
      </c>
      <c r="G133" s="42" t="s">
        <v>2289</v>
      </c>
      <c r="H133" s="42" t="s">
        <v>2290</v>
      </c>
      <c r="I133" s="42"/>
      <c r="J133" s="42"/>
      <c r="K133" s="65"/>
      <c r="L133" s="66" t="s">
        <v>2292</v>
      </c>
      <c r="M133" s="67" t="s">
        <v>2776</v>
      </c>
      <c r="N133" s="65" t="s">
        <v>2777</v>
      </c>
      <c r="O133" s="42" t="s">
        <v>1933</v>
      </c>
      <c r="P133" s="42"/>
      <c r="Q133" s="42"/>
      <c r="R133" s="42"/>
      <c r="S133" s="42"/>
      <c r="T133" s="42" t="s">
        <v>1933</v>
      </c>
      <c r="U133" s="42"/>
      <c r="V133" s="42" t="s">
        <v>1933</v>
      </c>
      <c r="W133" s="42"/>
      <c r="X133" s="42"/>
      <c r="Y133" s="42"/>
      <c r="Z133" s="32" t="s">
        <v>2295</v>
      </c>
    </row>
    <row r="134" spans="1:26" ht="16.95" customHeight="1" x14ac:dyDescent="0.25">
      <c r="A134" s="36" t="s">
        <v>2778</v>
      </c>
      <c r="B134" s="36">
        <v>2</v>
      </c>
      <c r="C134" s="36" t="s">
        <v>2297</v>
      </c>
      <c r="D134" s="36"/>
      <c r="E134" s="36"/>
      <c r="F134" s="37" t="s">
        <v>2370</v>
      </c>
      <c r="G134" s="36" t="s">
        <v>2304</v>
      </c>
      <c r="H134" s="36" t="s">
        <v>2290</v>
      </c>
      <c r="I134" s="36" t="s">
        <v>2291</v>
      </c>
      <c r="J134" s="36"/>
      <c r="K134" s="56"/>
      <c r="L134" s="57" t="s">
        <v>2292</v>
      </c>
      <c r="M134" s="58" t="s">
        <v>2779</v>
      </c>
      <c r="N134" s="56" t="s">
        <v>2780</v>
      </c>
      <c r="O134" s="36" t="s">
        <v>1933</v>
      </c>
      <c r="P134" s="36" t="s">
        <v>1933</v>
      </c>
      <c r="Q134" s="36" t="s">
        <v>1933</v>
      </c>
      <c r="R134" s="36" t="s">
        <v>1933</v>
      </c>
      <c r="S134" s="36" t="s">
        <v>1933</v>
      </c>
      <c r="T134" s="36"/>
      <c r="U134" s="36"/>
      <c r="V134" s="36"/>
      <c r="W134" s="36"/>
      <c r="X134" s="36"/>
      <c r="Y134" s="36"/>
      <c r="Z134" s="32" t="s">
        <v>2295</v>
      </c>
    </row>
    <row r="135" spans="1:26" ht="16.95" customHeight="1" x14ac:dyDescent="0.25">
      <c r="A135" s="42" t="s">
        <v>2781</v>
      </c>
      <c r="B135" s="42">
        <v>2</v>
      </c>
      <c r="C135" s="42" t="s">
        <v>2315</v>
      </c>
      <c r="D135" s="42"/>
      <c r="E135" s="42" t="s">
        <v>1933</v>
      </c>
      <c r="F135" s="43" t="s">
        <v>2251</v>
      </c>
      <c r="G135" s="42" t="s">
        <v>2289</v>
      </c>
      <c r="H135" s="42" t="s">
        <v>2290</v>
      </c>
      <c r="I135" s="42" t="s">
        <v>2291</v>
      </c>
      <c r="J135" s="42" t="s">
        <v>2310</v>
      </c>
      <c r="K135" s="65" t="s">
        <v>2782</v>
      </c>
      <c r="L135" s="66" t="s">
        <v>2484</v>
      </c>
      <c r="M135" s="67" t="s">
        <v>2783</v>
      </c>
      <c r="N135" s="65" t="s">
        <v>2784</v>
      </c>
      <c r="O135" s="42"/>
      <c r="P135" s="42"/>
      <c r="Q135" s="42"/>
      <c r="R135" s="42"/>
      <c r="S135" s="42"/>
      <c r="T135" s="42" t="s">
        <v>1933</v>
      </c>
      <c r="U135" s="42"/>
      <c r="V135" s="42" t="s">
        <v>1933</v>
      </c>
      <c r="W135" s="42" t="s">
        <v>1933</v>
      </c>
      <c r="X135" s="42"/>
      <c r="Y135" s="42"/>
      <c r="Z135" s="32" t="s">
        <v>2295</v>
      </c>
    </row>
    <row r="136" spans="1:26" ht="16.95" customHeight="1" x14ac:dyDescent="0.25">
      <c r="A136" s="46" t="s">
        <v>2785</v>
      </c>
      <c r="B136" s="46">
        <v>2</v>
      </c>
      <c r="C136" s="46" t="s">
        <v>2334</v>
      </c>
      <c r="D136" s="46" t="s">
        <v>1933</v>
      </c>
      <c r="E136" s="46"/>
      <c r="F136" s="47" t="s">
        <v>2472</v>
      </c>
      <c r="G136" s="46" t="s">
        <v>2298</v>
      </c>
      <c r="H136" s="46" t="s">
        <v>2290</v>
      </c>
      <c r="I136" s="46" t="s">
        <v>2291</v>
      </c>
      <c r="J136" s="46" t="s">
        <v>2310</v>
      </c>
      <c r="K136" s="71" t="s">
        <v>2786</v>
      </c>
      <c r="L136" s="72" t="s">
        <v>2292</v>
      </c>
      <c r="M136" s="73" t="s">
        <v>2787</v>
      </c>
      <c r="N136" s="71" t="s">
        <v>2788</v>
      </c>
      <c r="O136" s="46" t="s">
        <v>1933</v>
      </c>
      <c r="P136" s="46"/>
      <c r="Q136" s="46" t="s">
        <v>1933</v>
      </c>
      <c r="R136" s="46"/>
      <c r="S136" s="46" t="s">
        <v>1933</v>
      </c>
      <c r="T136" s="46"/>
      <c r="U136" s="46"/>
      <c r="V136" s="46"/>
      <c r="W136" s="46"/>
      <c r="X136" s="46"/>
      <c r="Y136" s="46"/>
      <c r="Z136" s="32" t="s">
        <v>2295</v>
      </c>
    </row>
    <row r="137" spans="1:26" ht="16.95" customHeight="1" x14ac:dyDescent="0.25">
      <c r="A137" s="46" t="s">
        <v>2789</v>
      </c>
      <c r="B137" s="46">
        <v>2</v>
      </c>
      <c r="C137" s="46" t="s">
        <v>2334</v>
      </c>
      <c r="D137" s="46"/>
      <c r="E137" s="46" t="s">
        <v>1933</v>
      </c>
      <c r="F137" s="47" t="s">
        <v>2251</v>
      </c>
      <c r="G137" s="46" t="s">
        <v>2298</v>
      </c>
      <c r="H137" s="46" t="s">
        <v>2290</v>
      </c>
      <c r="I137" s="46" t="s">
        <v>2291</v>
      </c>
      <c r="J137" s="46" t="s">
        <v>2310</v>
      </c>
      <c r="K137" s="71" t="s">
        <v>2790</v>
      </c>
      <c r="L137" s="72" t="s">
        <v>2484</v>
      </c>
      <c r="M137" s="73" t="s">
        <v>2791</v>
      </c>
      <c r="N137" s="71" t="s">
        <v>2792</v>
      </c>
      <c r="O137" s="46" t="s">
        <v>1933</v>
      </c>
      <c r="P137" s="46" t="s">
        <v>1933</v>
      </c>
      <c r="Q137" s="46" t="s">
        <v>1933</v>
      </c>
      <c r="R137" s="46" t="s">
        <v>1933</v>
      </c>
      <c r="S137" s="46" t="s">
        <v>1933</v>
      </c>
      <c r="T137" s="46"/>
      <c r="U137" s="46"/>
      <c r="V137" s="46" t="s">
        <v>1933</v>
      </c>
      <c r="W137" s="46"/>
      <c r="X137" s="46"/>
      <c r="Y137" s="46"/>
      <c r="Z137" s="32" t="s">
        <v>2295</v>
      </c>
    </row>
    <row r="138" spans="1:26" ht="16.95" customHeight="1" x14ac:dyDescent="0.25">
      <c r="A138" s="40" t="s">
        <v>2793</v>
      </c>
      <c r="B138" s="40">
        <v>2</v>
      </c>
      <c r="C138" s="40" t="s">
        <v>2308</v>
      </c>
      <c r="D138" s="40" t="s">
        <v>1933</v>
      </c>
      <c r="E138" s="40"/>
      <c r="F138" s="41" t="s">
        <v>2573</v>
      </c>
      <c r="G138" s="40" t="s">
        <v>2018</v>
      </c>
      <c r="H138" s="40" t="s">
        <v>2290</v>
      </c>
      <c r="I138" s="40" t="s">
        <v>2291</v>
      </c>
      <c r="J138" s="40" t="s">
        <v>2310</v>
      </c>
      <c r="K138" s="62" t="s">
        <v>2794</v>
      </c>
      <c r="L138" s="63" t="s">
        <v>2673</v>
      </c>
      <c r="M138" s="64" t="s">
        <v>2795</v>
      </c>
      <c r="N138" s="62" t="s">
        <v>2796</v>
      </c>
      <c r="O138" s="40" t="s">
        <v>1933</v>
      </c>
      <c r="P138" s="40"/>
      <c r="Q138" s="40"/>
      <c r="R138" s="40"/>
      <c r="S138" s="40"/>
      <c r="T138" s="40"/>
      <c r="U138" s="40"/>
      <c r="V138" s="40" t="s">
        <v>1933</v>
      </c>
      <c r="W138" s="40" t="s">
        <v>1933</v>
      </c>
      <c r="X138" s="40"/>
      <c r="Y138" s="40"/>
      <c r="Z138" s="32" t="s">
        <v>2295</v>
      </c>
    </row>
    <row r="139" spans="1:26" ht="16.95" customHeight="1" x14ac:dyDescent="0.25">
      <c r="A139" s="42" t="s">
        <v>2797</v>
      </c>
      <c r="B139" s="42">
        <v>2</v>
      </c>
      <c r="C139" s="42" t="s">
        <v>2315</v>
      </c>
      <c r="D139" s="42"/>
      <c r="E139" s="42"/>
      <c r="F139" s="43" t="s">
        <v>2370</v>
      </c>
      <c r="G139" s="42" t="s">
        <v>2304</v>
      </c>
      <c r="H139" s="42" t="s">
        <v>2290</v>
      </c>
      <c r="I139" s="42" t="s">
        <v>2291</v>
      </c>
      <c r="J139" s="42"/>
      <c r="K139" s="65"/>
      <c r="L139" s="66" t="s">
        <v>2338</v>
      </c>
      <c r="M139" s="67" t="s">
        <v>2798</v>
      </c>
      <c r="N139" s="65" t="s">
        <v>2799</v>
      </c>
      <c r="O139" s="42"/>
      <c r="P139" s="42"/>
      <c r="Q139" s="42"/>
      <c r="R139" s="42" t="s">
        <v>1933</v>
      </c>
      <c r="S139" s="42" t="s">
        <v>1933</v>
      </c>
      <c r="T139" s="42" t="s">
        <v>1933</v>
      </c>
      <c r="U139" s="42"/>
      <c r="V139" s="42" t="s">
        <v>1933</v>
      </c>
      <c r="W139" s="42" t="s">
        <v>1933</v>
      </c>
      <c r="X139" s="42"/>
      <c r="Y139" s="42"/>
      <c r="Z139" s="32" t="s">
        <v>2295</v>
      </c>
    </row>
    <row r="140" spans="1:26" ht="16.95" customHeight="1" x14ac:dyDescent="0.25">
      <c r="A140" s="34" t="s">
        <v>2800</v>
      </c>
      <c r="B140" s="34">
        <v>2</v>
      </c>
      <c r="C140" s="34" t="s">
        <v>2288</v>
      </c>
      <c r="D140" s="34"/>
      <c r="E140" s="34"/>
      <c r="F140" s="35" t="s">
        <v>2251</v>
      </c>
      <c r="G140" s="34" t="s">
        <v>2457</v>
      </c>
      <c r="H140" s="34" t="s">
        <v>2290</v>
      </c>
      <c r="I140" s="34" t="s">
        <v>2291</v>
      </c>
      <c r="J140" s="34" t="s">
        <v>2310</v>
      </c>
      <c r="K140" s="53" t="s">
        <v>2801</v>
      </c>
      <c r="L140" s="54" t="s">
        <v>2292</v>
      </c>
      <c r="M140" s="55" t="s">
        <v>2802</v>
      </c>
      <c r="N140" s="53" t="s">
        <v>2803</v>
      </c>
      <c r="O140" s="34"/>
      <c r="P140" s="34"/>
      <c r="Q140" s="34"/>
      <c r="R140" s="34"/>
      <c r="S140" s="34"/>
      <c r="T140" s="34"/>
      <c r="U140" s="34"/>
      <c r="V140" s="34" t="s">
        <v>1933</v>
      </c>
      <c r="W140" s="34"/>
      <c r="X140" s="34"/>
      <c r="Y140" s="34"/>
      <c r="Z140" s="32" t="s">
        <v>2295</v>
      </c>
    </row>
    <row r="141" spans="1:26" ht="16.95" customHeight="1" x14ac:dyDescent="0.25">
      <c r="A141" s="46" t="s">
        <v>2804</v>
      </c>
      <c r="B141" s="46">
        <v>2</v>
      </c>
      <c r="C141" s="46" t="s">
        <v>2334</v>
      </c>
      <c r="D141" s="46"/>
      <c r="E141" s="46" t="s">
        <v>1933</v>
      </c>
      <c r="F141" s="47" t="s">
        <v>2251</v>
      </c>
      <c r="G141" s="46" t="s">
        <v>2309</v>
      </c>
      <c r="H141" s="46"/>
      <c r="I141" s="46" t="s">
        <v>2291</v>
      </c>
      <c r="J141" s="46"/>
      <c r="K141" s="71"/>
      <c r="L141" s="72" t="s">
        <v>2534</v>
      </c>
      <c r="M141" s="73" t="s">
        <v>2805</v>
      </c>
      <c r="N141" s="71" t="s">
        <v>2806</v>
      </c>
      <c r="O141" s="46"/>
      <c r="P141" s="46"/>
      <c r="Q141" s="46"/>
      <c r="R141" s="46"/>
      <c r="S141" s="46"/>
      <c r="T141" s="46" t="s">
        <v>1933</v>
      </c>
      <c r="U141" s="46" t="s">
        <v>1933</v>
      </c>
      <c r="V141" s="46" t="s">
        <v>1933</v>
      </c>
      <c r="W141" s="46"/>
      <c r="X141" s="46"/>
      <c r="Y141" s="46"/>
      <c r="Z141" s="32" t="s">
        <v>2295</v>
      </c>
    </row>
    <row r="142" spans="1:26" ht="16.95" customHeight="1" x14ac:dyDescent="0.25">
      <c r="A142" s="40" t="s">
        <v>2807</v>
      </c>
      <c r="B142" s="40">
        <v>2</v>
      </c>
      <c r="C142" s="40" t="s">
        <v>2308</v>
      </c>
      <c r="D142" s="40"/>
      <c r="E142" s="40"/>
      <c r="F142" s="41" t="s">
        <v>2251</v>
      </c>
      <c r="G142" s="40" t="s">
        <v>2298</v>
      </c>
      <c r="H142" s="40" t="s">
        <v>2290</v>
      </c>
      <c r="I142" s="40" t="s">
        <v>2291</v>
      </c>
      <c r="J142" s="40"/>
      <c r="K142" s="62"/>
      <c r="L142" s="63" t="s">
        <v>2343</v>
      </c>
      <c r="M142" s="64" t="s">
        <v>2808</v>
      </c>
      <c r="N142" s="62" t="s">
        <v>2809</v>
      </c>
      <c r="O142" s="40" t="s">
        <v>1933</v>
      </c>
      <c r="P142" s="40"/>
      <c r="Q142" s="40"/>
      <c r="R142" s="40"/>
      <c r="S142" s="40"/>
      <c r="T142" s="40" t="s">
        <v>1933</v>
      </c>
      <c r="U142" s="40" t="s">
        <v>1933</v>
      </c>
      <c r="V142" s="40" t="s">
        <v>1933</v>
      </c>
      <c r="W142" s="40"/>
      <c r="X142" s="40"/>
      <c r="Y142" s="40"/>
      <c r="Z142" s="32" t="s">
        <v>2295</v>
      </c>
    </row>
    <row r="143" spans="1:26" ht="16.95" customHeight="1" x14ac:dyDescent="0.25">
      <c r="A143" s="48" t="s">
        <v>2810</v>
      </c>
      <c r="B143" s="48">
        <v>2</v>
      </c>
      <c r="C143" s="48" t="s">
        <v>2342</v>
      </c>
      <c r="D143" s="48"/>
      <c r="E143" s="48"/>
      <c r="F143" s="49" t="s">
        <v>2370</v>
      </c>
      <c r="G143" s="48" t="s">
        <v>2298</v>
      </c>
      <c r="H143" s="48" t="s">
        <v>2290</v>
      </c>
      <c r="I143" s="48"/>
      <c r="J143" s="48"/>
      <c r="K143" s="74"/>
      <c r="L143" s="75" t="s">
        <v>2292</v>
      </c>
      <c r="M143" s="76" t="s">
        <v>2811</v>
      </c>
      <c r="N143" s="74" t="s">
        <v>2812</v>
      </c>
      <c r="O143" s="48"/>
      <c r="P143" s="48"/>
      <c r="Q143" s="48"/>
      <c r="R143" s="48"/>
      <c r="S143" s="48"/>
      <c r="T143" s="48" t="s">
        <v>1933</v>
      </c>
      <c r="U143" s="48" t="s">
        <v>1933</v>
      </c>
      <c r="V143" s="48" t="s">
        <v>1933</v>
      </c>
      <c r="W143" s="48"/>
      <c r="X143" s="48"/>
      <c r="Y143" s="48"/>
      <c r="Z143" s="32" t="s">
        <v>2295</v>
      </c>
    </row>
    <row r="144" spans="1:26" ht="16.95" customHeight="1" x14ac:dyDescent="0.25">
      <c r="A144" s="34" t="s">
        <v>2813</v>
      </c>
      <c r="B144" s="34">
        <v>2</v>
      </c>
      <c r="C144" s="34" t="s">
        <v>2288</v>
      </c>
      <c r="D144" s="34"/>
      <c r="E144" s="34" t="s">
        <v>1933</v>
      </c>
      <c r="F144" s="35" t="s">
        <v>2251</v>
      </c>
      <c r="G144" s="34" t="s">
        <v>2309</v>
      </c>
      <c r="H144" s="34" t="s">
        <v>2290</v>
      </c>
      <c r="I144" s="34" t="s">
        <v>2291</v>
      </c>
      <c r="J144" s="34" t="s">
        <v>2310</v>
      </c>
      <c r="K144" s="53" t="s">
        <v>2814</v>
      </c>
      <c r="L144" s="54" t="s">
        <v>2299</v>
      </c>
      <c r="M144" s="55" t="s">
        <v>2815</v>
      </c>
      <c r="N144" s="53" t="s">
        <v>2816</v>
      </c>
      <c r="O144" s="34"/>
      <c r="P144" s="34"/>
      <c r="Q144" s="34" t="s">
        <v>1933</v>
      </c>
      <c r="R144" s="34"/>
      <c r="S144" s="34"/>
      <c r="T144" s="34"/>
      <c r="U144" s="34"/>
      <c r="V144" s="34"/>
      <c r="W144" s="34"/>
      <c r="X144" s="34"/>
      <c r="Y144" s="34"/>
      <c r="Z144" s="32" t="s">
        <v>2295</v>
      </c>
    </row>
    <row r="145" spans="1:26" ht="16.95" customHeight="1" x14ac:dyDescent="0.25">
      <c r="A145" s="40" t="s">
        <v>2817</v>
      </c>
      <c r="B145" s="40">
        <v>2</v>
      </c>
      <c r="C145" s="40" t="s">
        <v>2308</v>
      </c>
      <c r="D145" s="40"/>
      <c r="E145" s="40"/>
      <c r="F145" s="41" t="s">
        <v>2251</v>
      </c>
      <c r="G145" s="40" t="s">
        <v>2304</v>
      </c>
      <c r="H145" s="40" t="s">
        <v>2290</v>
      </c>
      <c r="I145" s="40" t="s">
        <v>2291</v>
      </c>
      <c r="J145" s="40" t="s">
        <v>2310</v>
      </c>
      <c r="K145" s="62" t="s">
        <v>2818</v>
      </c>
      <c r="L145" s="63" t="s">
        <v>2432</v>
      </c>
      <c r="M145" s="64" t="s">
        <v>2819</v>
      </c>
      <c r="N145" s="62" t="s">
        <v>2820</v>
      </c>
      <c r="O145" s="40"/>
      <c r="P145" s="40"/>
      <c r="Q145" s="40"/>
      <c r="R145" s="40"/>
      <c r="S145" s="40"/>
      <c r="T145" s="40"/>
      <c r="U145" s="40"/>
      <c r="V145" s="40" t="s">
        <v>1933</v>
      </c>
      <c r="W145" s="40"/>
      <c r="X145" s="40"/>
      <c r="Y145" s="40"/>
      <c r="Z145" s="32" t="s">
        <v>2295</v>
      </c>
    </row>
    <row r="146" spans="1:26" ht="16.95" customHeight="1" x14ac:dyDescent="0.25">
      <c r="A146" s="36" t="s">
        <v>2821</v>
      </c>
      <c r="B146" s="36">
        <v>2</v>
      </c>
      <c r="C146" s="36" t="s">
        <v>2297</v>
      </c>
      <c r="D146" s="36"/>
      <c r="E146" s="36" t="s">
        <v>1933</v>
      </c>
      <c r="F146" s="37" t="s">
        <v>2251</v>
      </c>
      <c r="G146" s="36" t="s">
        <v>2298</v>
      </c>
      <c r="H146" s="36" t="s">
        <v>2290</v>
      </c>
      <c r="I146" s="36" t="s">
        <v>2291</v>
      </c>
      <c r="J146" s="36" t="s">
        <v>2310</v>
      </c>
      <c r="K146" s="56" t="s">
        <v>2822</v>
      </c>
      <c r="L146" s="57" t="s">
        <v>2534</v>
      </c>
      <c r="M146" s="58" t="s">
        <v>2823</v>
      </c>
      <c r="N146" s="56" t="s">
        <v>2824</v>
      </c>
      <c r="O146" s="36"/>
      <c r="P146" s="36"/>
      <c r="Q146" s="36" t="s">
        <v>1933</v>
      </c>
      <c r="R146" s="36"/>
      <c r="S146" s="36" t="s">
        <v>1933</v>
      </c>
      <c r="T146" s="36"/>
      <c r="U146" s="36"/>
      <c r="V146" s="36"/>
      <c r="W146" s="36"/>
      <c r="X146" s="36"/>
      <c r="Y146" s="36"/>
      <c r="Z146" s="32" t="s">
        <v>2295</v>
      </c>
    </row>
    <row r="147" spans="1:26" ht="16.95" customHeight="1" x14ac:dyDescent="0.25">
      <c r="A147" s="40" t="s">
        <v>2825</v>
      </c>
      <c r="B147" s="40">
        <v>2</v>
      </c>
      <c r="C147" s="40" t="s">
        <v>2308</v>
      </c>
      <c r="D147" s="40"/>
      <c r="E147" s="40" t="s">
        <v>1933</v>
      </c>
      <c r="F147" s="41" t="s">
        <v>2251</v>
      </c>
      <c r="G147" s="40" t="s">
        <v>2289</v>
      </c>
      <c r="H147" s="40" t="s">
        <v>2290</v>
      </c>
      <c r="I147" s="40" t="s">
        <v>2291</v>
      </c>
      <c r="J147" s="40" t="s">
        <v>2310</v>
      </c>
      <c r="K147" s="62" t="s">
        <v>2826</v>
      </c>
      <c r="L147" s="63" t="s">
        <v>2299</v>
      </c>
      <c r="M147" s="64" t="s">
        <v>2827</v>
      </c>
      <c r="N147" s="62" t="s">
        <v>2828</v>
      </c>
      <c r="O147" s="40" t="s">
        <v>1933</v>
      </c>
      <c r="P147" s="40"/>
      <c r="Q147" s="40"/>
      <c r="R147" s="40"/>
      <c r="S147" s="40"/>
      <c r="T147" s="40" t="s">
        <v>1933</v>
      </c>
      <c r="U147" s="40"/>
      <c r="V147" s="40" t="s">
        <v>1933</v>
      </c>
      <c r="W147" s="40"/>
      <c r="X147" s="40"/>
      <c r="Y147" s="40"/>
      <c r="Z147" s="32" t="s">
        <v>2295</v>
      </c>
    </row>
    <row r="148" spans="1:26" ht="16.95" customHeight="1" x14ac:dyDescent="0.25">
      <c r="A148" s="36" t="s">
        <v>2829</v>
      </c>
      <c r="B148" s="36">
        <v>2</v>
      </c>
      <c r="C148" s="36" t="s">
        <v>2297</v>
      </c>
      <c r="D148" s="36"/>
      <c r="E148" s="36"/>
      <c r="F148" s="37" t="s">
        <v>2371</v>
      </c>
      <c r="G148" s="36" t="s">
        <v>2018</v>
      </c>
      <c r="H148" s="36" t="s">
        <v>2290</v>
      </c>
      <c r="I148" s="36"/>
      <c r="J148" s="36"/>
      <c r="K148" s="56"/>
      <c r="L148" s="57" t="s">
        <v>2292</v>
      </c>
      <c r="M148" s="58" t="s">
        <v>2830</v>
      </c>
      <c r="N148" s="56" t="s">
        <v>2831</v>
      </c>
      <c r="O148" s="36"/>
      <c r="P148" s="36" t="s">
        <v>1933</v>
      </c>
      <c r="Q148" s="36"/>
      <c r="R148" s="36" t="s">
        <v>1933</v>
      </c>
      <c r="S148" s="36"/>
      <c r="T148" s="36"/>
      <c r="U148" s="36"/>
      <c r="V148" s="36"/>
      <c r="W148" s="36"/>
      <c r="X148" s="36"/>
      <c r="Y148" s="36"/>
      <c r="Z148" s="32" t="s">
        <v>2295</v>
      </c>
    </row>
    <row r="149" spans="1:26" ht="16.95" customHeight="1" x14ac:dyDescent="0.25">
      <c r="A149" s="36" t="s">
        <v>2832</v>
      </c>
      <c r="B149" s="36">
        <v>2</v>
      </c>
      <c r="C149" s="36" t="s">
        <v>2297</v>
      </c>
      <c r="D149" s="36"/>
      <c r="E149" s="36"/>
      <c r="F149" s="37" t="s">
        <v>2251</v>
      </c>
      <c r="G149" s="36" t="s">
        <v>2304</v>
      </c>
      <c r="H149" s="36" t="s">
        <v>2290</v>
      </c>
      <c r="I149" s="36" t="s">
        <v>2291</v>
      </c>
      <c r="J149" s="36"/>
      <c r="K149" s="56"/>
      <c r="L149" s="57" t="s">
        <v>2338</v>
      </c>
      <c r="M149" s="58" t="s">
        <v>2833</v>
      </c>
      <c r="N149" s="56" t="s">
        <v>2834</v>
      </c>
      <c r="O149" s="36"/>
      <c r="P149" s="36" t="s">
        <v>1933</v>
      </c>
      <c r="Q149" s="36" t="s">
        <v>1933</v>
      </c>
      <c r="R149" s="36" t="s">
        <v>1933</v>
      </c>
      <c r="S149" s="36" t="s">
        <v>1933</v>
      </c>
      <c r="T149" s="36"/>
      <c r="U149" s="36"/>
      <c r="V149" s="36"/>
      <c r="W149" s="36" t="s">
        <v>1933</v>
      </c>
      <c r="X149" s="36"/>
      <c r="Y149" s="36"/>
      <c r="Z149" s="32" t="s">
        <v>2295</v>
      </c>
    </row>
    <row r="150" spans="1:26" ht="16.95" customHeight="1" x14ac:dyDescent="0.25">
      <c r="A150" s="38" t="s">
        <v>2835</v>
      </c>
      <c r="B150" s="38">
        <v>2</v>
      </c>
      <c r="C150" s="38" t="s">
        <v>2303</v>
      </c>
      <c r="D150" s="38"/>
      <c r="E150" s="38" t="s">
        <v>1933</v>
      </c>
      <c r="F150" s="39" t="s">
        <v>2251</v>
      </c>
      <c r="G150" s="38" t="s">
        <v>2289</v>
      </c>
      <c r="H150" s="38" t="s">
        <v>2290</v>
      </c>
      <c r="I150" s="38" t="s">
        <v>2291</v>
      </c>
      <c r="J150" s="38"/>
      <c r="K150" s="59"/>
      <c r="L150" s="60" t="s">
        <v>2299</v>
      </c>
      <c r="M150" s="61" t="s">
        <v>2836</v>
      </c>
      <c r="N150" s="59" t="s">
        <v>2837</v>
      </c>
      <c r="O150" s="38"/>
      <c r="P150" s="38"/>
      <c r="Q150" s="38"/>
      <c r="R150" s="38"/>
      <c r="S150" s="38"/>
      <c r="T150" s="38"/>
      <c r="U150" s="38" t="s">
        <v>1933</v>
      </c>
      <c r="V150" s="38" t="s">
        <v>1933</v>
      </c>
      <c r="W150" s="38"/>
      <c r="X150" s="38"/>
      <c r="Y150" s="38"/>
      <c r="Z150" s="32" t="s">
        <v>2295</v>
      </c>
    </row>
    <row r="151" spans="1:26" ht="16.95" customHeight="1" x14ac:dyDescent="0.25">
      <c r="A151" s="42" t="s">
        <v>2838</v>
      </c>
      <c r="B151" s="42">
        <v>2</v>
      </c>
      <c r="C151" s="42" t="s">
        <v>2315</v>
      </c>
      <c r="D151" s="42"/>
      <c r="E151" s="42"/>
      <c r="F151" s="43" t="s">
        <v>2251</v>
      </c>
      <c r="G151" s="42" t="s">
        <v>2304</v>
      </c>
      <c r="H151" s="42" t="s">
        <v>2290</v>
      </c>
      <c r="I151" s="42" t="s">
        <v>2291</v>
      </c>
      <c r="J151" s="42" t="s">
        <v>2310</v>
      </c>
      <c r="K151" s="65" t="s">
        <v>2839</v>
      </c>
      <c r="L151" s="66" t="s">
        <v>2338</v>
      </c>
      <c r="M151" s="67" t="s">
        <v>2840</v>
      </c>
      <c r="N151" s="65" t="s">
        <v>2841</v>
      </c>
      <c r="O151" s="42"/>
      <c r="P151" s="42"/>
      <c r="Q151" s="42"/>
      <c r="R151" s="42"/>
      <c r="S151" s="42"/>
      <c r="T151" s="42"/>
      <c r="U151" s="42"/>
      <c r="V151" s="42" t="s">
        <v>1933</v>
      </c>
      <c r="W151" s="42" t="s">
        <v>1933</v>
      </c>
      <c r="X151" s="42"/>
      <c r="Y151" s="42"/>
      <c r="Z151" s="32" t="s">
        <v>2295</v>
      </c>
    </row>
    <row r="152" spans="1:26" ht="16.95" customHeight="1" x14ac:dyDescent="0.25">
      <c r="A152" s="34" t="s">
        <v>2842</v>
      </c>
      <c r="B152" s="34">
        <v>2</v>
      </c>
      <c r="C152" s="34" t="s">
        <v>2288</v>
      </c>
      <c r="D152" s="34"/>
      <c r="E152" s="34"/>
      <c r="F152" s="35" t="s">
        <v>2251</v>
      </c>
      <c r="G152" s="34" t="s">
        <v>2309</v>
      </c>
      <c r="H152" s="34" t="s">
        <v>2290</v>
      </c>
      <c r="I152" s="34" t="s">
        <v>2291</v>
      </c>
      <c r="J152" s="34"/>
      <c r="K152" s="53"/>
      <c r="L152" s="54" t="s">
        <v>2292</v>
      </c>
      <c r="M152" s="55" t="s">
        <v>2843</v>
      </c>
      <c r="N152" s="53" t="s">
        <v>2844</v>
      </c>
      <c r="O152" s="34"/>
      <c r="P152" s="34"/>
      <c r="Q152" s="34"/>
      <c r="R152" s="34"/>
      <c r="S152" s="34"/>
      <c r="T152" s="34" t="s">
        <v>1933</v>
      </c>
      <c r="U152" s="34"/>
      <c r="V152" s="34" t="s">
        <v>1933</v>
      </c>
      <c r="W152" s="34"/>
      <c r="X152" s="34"/>
      <c r="Y152" s="34"/>
      <c r="Z152" s="32" t="s">
        <v>2295</v>
      </c>
    </row>
    <row r="153" spans="1:26" ht="16.95" customHeight="1" x14ac:dyDescent="0.25">
      <c r="A153" s="46" t="s">
        <v>2845</v>
      </c>
      <c r="B153" s="46">
        <v>2</v>
      </c>
      <c r="C153" s="46" t="s">
        <v>2334</v>
      </c>
      <c r="D153" s="46"/>
      <c r="E153" s="46"/>
      <c r="F153" s="47" t="s">
        <v>2251</v>
      </c>
      <c r="G153" s="46" t="s">
        <v>2298</v>
      </c>
      <c r="H153" s="46" t="s">
        <v>2290</v>
      </c>
      <c r="I153" s="46" t="s">
        <v>2291</v>
      </c>
      <c r="J153" s="46" t="s">
        <v>2310</v>
      </c>
      <c r="K153" s="71" t="s">
        <v>2846</v>
      </c>
      <c r="L153" s="72" t="s">
        <v>2847</v>
      </c>
      <c r="M153" s="73" t="s">
        <v>2848</v>
      </c>
      <c r="N153" s="71" t="s">
        <v>2849</v>
      </c>
      <c r="O153" s="46" t="s">
        <v>1933</v>
      </c>
      <c r="P153" s="46"/>
      <c r="Q153" s="46"/>
      <c r="R153" s="46"/>
      <c r="S153" s="46"/>
      <c r="T153" s="46" t="s">
        <v>1933</v>
      </c>
      <c r="U153" s="46"/>
      <c r="V153" s="46" t="s">
        <v>1933</v>
      </c>
      <c r="W153" s="46" t="s">
        <v>1933</v>
      </c>
      <c r="X153" s="46"/>
      <c r="Y153" s="46"/>
      <c r="Z153" s="32" t="s">
        <v>2295</v>
      </c>
    </row>
    <row r="154" spans="1:26" ht="16.95" customHeight="1" x14ac:dyDescent="0.25">
      <c r="A154" s="34" t="s">
        <v>2850</v>
      </c>
      <c r="B154" s="34">
        <v>2</v>
      </c>
      <c r="C154" s="34" t="s">
        <v>2288</v>
      </c>
      <c r="D154" s="34"/>
      <c r="E154" s="34"/>
      <c r="F154" s="35" t="s">
        <v>2251</v>
      </c>
      <c r="G154" s="34" t="s">
        <v>2289</v>
      </c>
      <c r="H154" s="34" t="s">
        <v>2290</v>
      </c>
      <c r="I154" s="34" t="s">
        <v>2291</v>
      </c>
      <c r="J154" s="34" t="s">
        <v>2310</v>
      </c>
      <c r="K154" s="53" t="s">
        <v>2851</v>
      </c>
      <c r="L154" s="54" t="s">
        <v>2292</v>
      </c>
      <c r="M154" s="55" t="s">
        <v>2852</v>
      </c>
      <c r="N154" s="53" t="s">
        <v>2853</v>
      </c>
      <c r="O154" s="34" t="s">
        <v>1933</v>
      </c>
      <c r="P154" s="34"/>
      <c r="Q154" s="34"/>
      <c r="R154" s="34"/>
      <c r="S154" s="34"/>
      <c r="T154" s="34" t="s">
        <v>1933</v>
      </c>
      <c r="U154" s="34"/>
      <c r="V154" s="34" t="s">
        <v>1933</v>
      </c>
      <c r="W154" s="34"/>
      <c r="X154" s="34"/>
      <c r="Y154" s="34"/>
      <c r="Z154" s="32" t="s">
        <v>2295</v>
      </c>
    </row>
    <row r="155" spans="1:26" ht="16.95" customHeight="1" x14ac:dyDescent="0.25">
      <c r="A155" s="42" t="s">
        <v>2854</v>
      </c>
      <c r="B155" s="42">
        <v>2</v>
      </c>
      <c r="C155" s="42" t="s">
        <v>2315</v>
      </c>
      <c r="D155" s="42"/>
      <c r="E155" s="42" t="s">
        <v>1933</v>
      </c>
      <c r="F155" s="43" t="s">
        <v>2503</v>
      </c>
      <c r="G155" s="42" t="s">
        <v>2298</v>
      </c>
      <c r="H155" s="42" t="s">
        <v>2290</v>
      </c>
      <c r="I155" s="42"/>
      <c r="J155" s="42"/>
      <c r="K155" s="65"/>
      <c r="L155" s="66" t="s">
        <v>2299</v>
      </c>
      <c r="M155" s="67" t="s">
        <v>2855</v>
      </c>
      <c r="N155" s="65" t="s">
        <v>2856</v>
      </c>
      <c r="O155" s="42"/>
      <c r="P155" s="42"/>
      <c r="Q155" s="42"/>
      <c r="R155" s="42" t="s">
        <v>1933</v>
      </c>
      <c r="S155" s="42"/>
      <c r="T155" s="42"/>
      <c r="U155" s="42"/>
      <c r="V155" s="42"/>
      <c r="W155" s="42"/>
      <c r="X155" s="42"/>
      <c r="Y155" s="42"/>
      <c r="Z155" s="32" t="s">
        <v>2295</v>
      </c>
    </row>
    <row r="156" spans="1:26" ht="16.95" customHeight="1" x14ac:dyDescent="0.25">
      <c r="A156" s="40" t="s">
        <v>2857</v>
      </c>
      <c r="B156" s="40">
        <v>2</v>
      </c>
      <c r="C156" s="40" t="s">
        <v>2308</v>
      </c>
      <c r="D156" s="40" t="s">
        <v>1933</v>
      </c>
      <c r="E156" s="40" t="s">
        <v>1933</v>
      </c>
      <c r="F156" s="41" t="s">
        <v>2472</v>
      </c>
      <c r="G156" s="40" t="s">
        <v>2309</v>
      </c>
      <c r="H156" s="40" t="s">
        <v>2290</v>
      </c>
      <c r="I156" s="40" t="s">
        <v>2291</v>
      </c>
      <c r="J156" s="40"/>
      <c r="K156" s="62"/>
      <c r="L156" s="63" t="s">
        <v>2484</v>
      </c>
      <c r="M156" s="64" t="s">
        <v>2858</v>
      </c>
      <c r="N156" s="62" t="s">
        <v>2859</v>
      </c>
      <c r="O156" s="40" t="s">
        <v>1933</v>
      </c>
      <c r="P156" s="40" t="s">
        <v>1933</v>
      </c>
      <c r="Q156" s="40"/>
      <c r="R156" s="40"/>
      <c r="S156" s="40" t="s">
        <v>1933</v>
      </c>
      <c r="T156" s="40"/>
      <c r="U156" s="40"/>
      <c r="V156" s="40"/>
      <c r="W156" s="40"/>
      <c r="X156" s="40"/>
      <c r="Y156" s="40"/>
      <c r="Z156" s="32" t="s">
        <v>2295</v>
      </c>
    </row>
    <row r="157" spans="1:26" ht="16.95" customHeight="1" x14ac:dyDescent="0.25">
      <c r="A157" s="42" t="s">
        <v>2860</v>
      </c>
      <c r="B157" s="42">
        <v>2</v>
      </c>
      <c r="C157" s="42" t="s">
        <v>2315</v>
      </c>
      <c r="D157" s="42"/>
      <c r="E157" s="42" t="s">
        <v>1933</v>
      </c>
      <c r="F157" s="43" t="s">
        <v>2251</v>
      </c>
      <c r="G157" s="42" t="s">
        <v>2304</v>
      </c>
      <c r="H157" s="42" t="s">
        <v>2290</v>
      </c>
      <c r="I157" s="42" t="s">
        <v>2291</v>
      </c>
      <c r="J157" s="42" t="s">
        <v>2310</v>
      </c>
      <c r="K157" s="65" t="s">
        <v>2861</v>
      </c>
      <c r="L157" s="66" t="s">
        <v>2534</v>
      </c>
      <c r="M157" s="67" t="s">
        <v>2862</v>
      </c>
      <c r="N157" s="65" t="s">
        <v>2863</v>
      </c>
      <c r="O157" s="42"/>
      <c r="P157" s="42"/>
      <c r="Q157" s="42"/>
      <c r="R157" s="42"/>
      <c r="S157" s="42"/>
      <c r="T157" s="42" t="s">
        <v>1933</v>
      </c>
      <c r="U157" s="42" t="s">
        <v>1933</v>
      </c>
      <c r="V157" s="42" t="s">
        <v>1933</v>
      </c>
      <c r="W157" s="42" t="s">
        <v>1933</v>
      </c>
      <c r="X157" s="42"/>
      <c r="Y157" s="42"/>
      <c r="Z157" s="32" t="s">
        <v>2295</v>
      </c>
    </row>
    <row r="158" spans="1:26" ht="16.95" customHeight="1" x14ac:dyDescent="0.25">
      <c r="A158" s="42" t="s">
        <v>2864</v>
      </c>
      <c r="B158" s="42">
        <v>2</v>
      </c>
      <c r="C158" s="42" t="s">
        <v>2315</v>
      </c>
      <c r="D158" s="42"/>
      <c r="E158" s="42" t="s">
        <v>1933</v>
      </c>
      <c r="F158" s="43" t="s">
        <v>2251</v>
      </c>
      <c r="G158" s="42" t="s">
        <v>2865</v>
      </c>
      <c r="H158" s="42" t="s">
        <v>2290</v>
      </c>
      <c r="I158" s="42" t="s">
        <v>2291</v>
      </c>
      <c r="J158" s="42" t="s">
        <v>2310</v>
      </c>
      <c r="K158" s="65" t="s">
        <v>2866</v>
      </c>
      <c r="L158" s="66" t="s">
        <v>2484</v>
      </c>
      <c r="M158" s="67" t="s">
        <v>2867</v>
      </c>
      <c r="N158" s="65" t="s">
        <v>2868</v>
      </c>
      <c r="O158" s="42"/>
      <c r="P158" s="42"/>
      <c r="Q158" s="42" t="s">
        <v>1933</v>
      </c>
      <c r="R158" s="42"/>
      <c r="S158" s="42" t="s">
        <v>1933</v>
      </c>
      <c r="T158" s="42"/>
      <c r="U158" s="42"/>
      <c r="V158" s="42"/>
      <c r="W158" s="42"/>
      <c r="X158" s="42"/>
      <c r="Y158" s="42"/>
      <c r="Z158" s="32" t="s">
        <v>2295</v>
      </c>
    </row>
    <row r="159" spans="1:26" ht="16.95" customHeight="1" x14ac:dyDescent="0.25">
      <c r="A159" s="34" t="s">
        <v>2869</v>
      </c>
      <c r="B159" s="34">
        <v>2</v>
      </c>
      <c r="C159" s="34" t="s">
        <v>2288</v>
      </c>
      <c r="D159" s="34"/>
      <c r="E159" s="34" t="s">
        <v>1933</v>
      </c>
      <c r="F159" s="35" t="s">
        <v>2370</v>
      </c>
      <c r="G159" s="34" t="s">
        <v>2289</v>
      </c>
      <c r="H159" s="34" t="s">
        <v>2290</v>
      </c>
      <c r="I159" s="34" t="s">
        <v>2291</v>
      </c>
      <c r="J159" s="34"/>
      <c r="K159" s="53"/>
      <c r="L159" s="54" t="s">
        <v>2299</v>
      </c>
      <c r="M159" s="55" t="s">
        <v>2870</v>
      </c>
      <c r="N159" s="53" t="s">
        <v>2871</v>
      </c>
      <c r="O159" s="34"/>
      <c r="P159" s="34" t="s">
        <v>1933</v>
      </c>
      <c r="Q159" s="34"/>
      <c r="R159" s="34"/>
      <c r="S159" s="34"/>
      <c r="T159" s="34"/>
      <c r="U159" s="34"/>
      <c r="V159" s="34"/>
      <c r="W159" s="34"/>
      <c r="X159" s="34"/>
      <c r="Y159" s="34"/>
      <c r="Z159" s="32" t="s">
        <v>2295</v>
      </c>
    </row>
    <row r="160" spans="1:26" ht="16.95" customHeight="1" x14ac:dyDescent="0.25">
      <c r="A160" s="44" t="s">
        <v>2872</v>
      </c>
      <c r="B160" s="44">
        <v>2</v>
      </c>
      <c r="C160" s="44" t="s">
        <v>2328</v>
      </c>
      <c r="D160" s="44"/>
      <c r="E160" s="44" t="s">
        <v>1933</v>
      </c>
      <c r="F160" s="45" t="s">
        <v>2251</v>
      </c>
      <c r="G160" s="44" t="s">
        <v>2018</v>
      </c>
      <c r="H160" s="44" t="s">
        <v>2290</v>
      </c>
      <c r="I160" s="44"/>
      <c r="J160" s="44" t="s">
        <v>2310</v>
      </c>
      <c r="K160" s="68" t="s">
        <v>2873</v>
      </c>
      <c r="L160" s="69" t="s">
        <v>2874</v>
      </c>
      <c r="M160" s="70" t="s">
        <v>2875</v>
      </c>
      <c r="N160" s="68" t="s">
        <v>2876</v>
      </c>
      <c r="O160" s="44" t="s">
        <v>1933</v>
      </c>
      <c r="P160" s="44"/>
      <c r="Q160" s="44"/>
      <c r="R160" s="44"/>
      <c r="S160" s="44"/>
      <c r="T160" s="44" t="s">
        <v>1933</v>
      </c>
      <c r="U160" s="44" t="s">
        <v>1933</v>
      </c>
      <c r="V160" s="44" t="s">
        <v>1933</v>
      </c>
      <c r="W160" s="44"/>
      <c r="X160" s="44"/>
      <c r="Y160" s="44"/>
      <c r="Z160" s="32" t="s">
        <v>2295</v>
      </c>
    </row>
    <row r="161" spans="1:26" ht="16.95" customHeight="1" x14ac:dyDescent="0.25">
      <c r="A161" s="48" t="s">
        <v>2877</v>
      </c>
      <c r="B161" s="48">
        <v>2</v>
      </c>
      <c r="C161" s="48" t="s">
        <v>2342</v>
      </c>
      <c r="D161" s="48"/>
      <c r="E161" s="48" t="s">
        <v>1933</v>
      </c>
      <c r="F161" s="49" t="s">
        <v>2251</v>
      </c>
      <c r="G161" s="48" t="s">
        <v>2457</v>
      </c>
      <c r="H161" s="48" t="s">
        <v>2290</v>
      </c>
      <c r="I161" s="48" t="s">
        <v>2291</v>
      </c>
      <c r="J161" s="48" t="s">
        <v>2310</v>
      </c>
      <c r="K161" s="74" t="s">
        <v>2878</v>
      </c>
      <c r="L161" s="75" t="s">
        <v>2534</v>
      </c>
      <c r="M161" s="76" t="s">
        <v>2879</v>
      </c>
      <c r="N161" s="74" t="s">
        <v>2880</v>
      </c>
      <c r="O161" s="48"/>
      <c r="P161" s="48"/>
      <c r="Q161" s="48" t="s">
        <v>1933</v>
      </c>
      <c r="R161" s="48"/>
      <c r="S161" s="48" t="s">
        <v>1933</v>
      </c>
      <c r="T161" s="48"/>
      <c r="U161" s="48"/>
      <c r="V161" s="48"/>
      <c r="W161" s="48"/>
      <c r="X161" s="48"/>
      <c r="Y161" s="48"/>
      <c r="Z161" s="32" t="s">
        <v>2295</v>
      </c>
    </row>
    <row r="162" spans="1:26" ht="16.95" customHeight="1" x14ac:dyDescent="0.25">
      <c r="A162" s="36" t="s">
        <v>2881</v>
      </c>
      <c r="B162" s="36">
        <v>2</v>
      </c>
      <c r="C162" s="36" t="s">
        <v>2297</v>
      </c>
      <c r="D162" s="36"/>
      <c r="E162" s="36"/>
      <c r="F162" s="37" t="s">
        <v>2251</v>
      </c>
      <c r="G162" s="36" t="s">
        <v>2304</v>
      </c>
      <c r="H162" s="36" t="s">
        <v>2290</v>
      </c>
      <c r="I162" s="36" t="s">
        <v>2291</v>
      </c>
      <c r="J162" s="36" t="s">
        <v>2310</v>
      </c>
      <c r="K162" s="56" t="s">
        <v>2882</v>
      </c>
      <c r="L162" s="57" t="s">
        <v>2338</v>
      </c>
      <c r="M162" s="58" t="s">
        <v>2883</v>
      </c>
      <c r="N162" s="56" t="s">
        <v>2884</v>
      </c>
      <c r="O162" s="36"/>
      <c r="P162" s="36" t="s">
        <v>1933</v>
      </c>
      <c r="Q162" s="36"/>
      <c r="R162" s="36" t="s">
        <v>1933</v>
      </c>
      <c r="S162" s="36"/>
      <c r="T162" s="36"/>
      <c r="U162" s="36"/>
      <c r="V162" s="36"/>
      <c r="W162" s="36"/>
      <c r="X162" s="36"/>
      <c r="Y162" s="36"/>
      <c r="Z162" s="32" t="s">
        <v>2295</v>
      </c>
    </row>
    <row r="163" spans="1:26" ht="16.95" customHeight="1" x14ac:dyDescent="0.25">
      <c r="A163" s="48" t="s">
        <v>2885</v>
      </c>
      <c r="B163" s="48">
        <v>2</v>
      </c>
      <c r="C163" s="48" t="s">
        <v>2342</v>
      </c>
      <c r="D163" s="48"/>
      <c r="E163" s="48" t="s">
        <v>1933</v>
      </c>
      <c r="F163" s="49" t="s">
        <v>2251</v>
      </c>
      <c r="G163" s="48" t="s">
        <v>2289</v>
      </c>
      <c r="H163" s="48" t="s">
        <v>2290</v>
      </c>
      <c r="I163" s="48" t="s">
        <v>2291</v>
      </c>
      <c r="J163" s="48" t="s">
        <v>2310</v>
      </c>
      <c r="K163" s="74" t="s">
        <v>2886</v>
      </c>
      <c r="L163" s="75" t="s">
        <v>2534</v>
      </c>
      <c r="M163" s="76" t="s">
        <v>2887</v>
      </c>
      <c r="N163" s="74" t="s">
        <v>2888</v>
      </c>
      <c r="O163" s="48"/>
      <c r="P163" s="48"/>
      <c r="Q163" s="48"/>
      <c r="R163" s="48"/>
      <c r="S163" s="48"/>
      <c r="T163" s="48" t="s">
        <v>1933</v>
      </c>
      <c r="U163" s="48"/>
      <c r="V163" s="48" t="s">
        <v>1933</v>
      </c>
      <c r="W163" s="48" t="s">
        <v>1933</v>
      </c>
      <c r="X163" s="48"/>
      <c r="Y163" s="48"/>
      <c r="Z163" s="32" t="s">
        <v>2295</v>
      </c>
    </row>
    <row r="164" spans="1:26" ht="16.95" customHeight="1" x14ac:dyDescent="0.25">
      <c r="A164" s="44" t="s">
        <v>2889</v>
      </c>
      <c r="B164" s="44">
        <v>2</v>
      </c>
      <c r="C164" s="44" t="s">
        <v>2328</v>
      </c>
      <c r="D164" s="44"/>
      <c r="E164" s="44"/>
      <c r="F164" s="45" t="s">
        <v>2251</v>
      </c>
      <c r="G164" s="44" t="s">
        <v>2289</v>
      </c>
      <c r="H164" s="44" t="s">
        <v>2290</v>
      </c>
      <c r="I164" s="44" t="s">
        <v>2291</v>
      </c>
      <c r="J164" s="44"/>
      <c r="K164" s="78"/>
      <c r="L164" s="69" t="s">
        <v>2371</v>
      </c>
      <c r="M164" s="70" t="s">
        <v>2890</v>
      </c>
      <c r="N164" s="68" t="s">
        <v>2891</v>
      </c>
      <c r="O164" s="44" t="s">
        <v>1933</v>
      </c>
      <c r="P164" s="44" t="s">
        <v>1933</v>
      </c>
      <c r="Q164" s="44"/>
      <c r="R164" s="44" t="s">
        <v>1933</v>
      </c>
      <c r="S164" s="44"/>
      <c r="T164" s="44"/>
      <c r="U164" s="44"/>
      <c r="V164" s="44"/>
      <c r="W164" s="44"/>
      <c r="X164" s="44"/>
      <c r="Y164" s="44"/>
      <c r="Z164" s="32" t="s">
        <v>2295</v>
      </c>
    </row>
    <row r="165" spans="1:26" ht="16.95" customHeight="1" x14ac:dyDescent="0.25">
      <c r="A165" s="38" t="s">
        <v>2892</v>
      </c>
      <c r="B165" s="38">
        <v>3</v>
      </c>
      <c r="C165" s="38" t="s">
        <v>2303</v>
      </c>
      <c r="D165" s="38"/>
      <c r="E165" s="38"/>
      <c r="F165" s="39" t="s">
        <v>2343</v>
      </c>
      <c r="G165" s="38" t="s">
        <v>2329</v>
      </c>
      <c r="H165" s="38" t="s">
        <v>2290</v>
      </c>
      <c r="I165" s="38" t="s">
        <v>2291</v>
      </c>
      <c r="J165" s="38" t="s">
        <v>2310</v>
      </c>
      <c r="K165" s="59" t="s">
        <v>2893</v>
      </c>
      <c r="L165" s="60" t="s">
        <v>2292</v>
      </c>
      <c r="M165" s="61" t="s">
        <v>2894</v>
      </c>
      <c r="N165" s="59" t="s">
        <v>2895</v>
      </c>
      <c r="O165" s="38"/>
      <c r="P165" s="38" t="s">
        <v>1933</v>
      </c>
      <c r="Q165" s="38"/>
      <c r="R165" s="38"/>
      <c r="S165" s="38"/>
      <c r="T165" s="38"/>
      <c r="U165" s="38"/>
      <c r="V165" s="38" t="s">
        <v>1933</v>
      </c>
      <c r="W165" s="38"/>
      <c r="X165" s="38"/>
      <c r="Y165" s="38"/>
      <c r="Z165" s="32" t="s">
        <v>2295</v>
      </c>
    </row>
    <row r="166" spans="1:26" ht="16.95" customHeight="1" x14ac:dyDescent="0.25">
      <c r="A166" s="34" t="s">
        <v>2896</v>
      </c>
      <c r="B166" s="34">
        <v>3</v>
      </c>
      <c r="C166" s="34" t="s">
        <v>2288</v>
      </c>
      <c r="D166" s="34"/>
      <c r="E166" s="34" t="s">
        <v>1933</v>
      </c>
      <c r="F166" s="35" t="s">
        <v>2251</v>
      </c>
      <c r="G166" s="34" t="s">
        <v>2298</v>
      </c>
      <c r="H166" s="34" t="s">
        <v>2290</v>
      </c>
      <c r="I166" s="34"/>
      <c r="J166" s="34"/>
      <c r="K166" s="53"/>
      <c r="L166" s="54" t="s">
        <v>2299</v>
      </c>
      <c r="M166" s="55" t="s">
        <v>2897</v>
      </c>
      <c r="N166" s="53" t="s">
        <v>2898</v>
      </c>
      <c r="O166" s="34"/>
      <c r="P166" s="34" t="s">
        <v>1933</v>
      </c>
      <c r="Q166" s="34" t="s">
        <v>1933</v>
      </c>
      <c r="R166" s="34" t="s">
        <v>1933</v>
      </c>
      <c r="S166" s="34"/>
      <c r="T166" s="34"/>
      <c r="U166" s="34"/>
      <c r="V166" s="34"/>
      <c r="W166" s="34"/>
      <c r="X166" s="34"/>
      <c r="Y166" s="34"/>
      <c r="Z166" s="32" t="s">
        <v>2295</v>
      </c>
    </row>
    <row r="167" spans="1:26" ht="16.95" customHeight="1" x14ac:dyDescent="0.25">
      <c r="A167" s="36" t="s">
        <v>2899</v>
      </c>
      <c r="B167" s="36">
        <v>3</v>
      </c>
      <c r="C167" s="36" t="s">
        <v>2297</v>
      </c>
      <c r="D167" s="36"/>
      <c r="E167" s="36" t="s">
        <v>1933</v>
      </c>
      <c r="F167" s="37" t="s">
        <v>2251</v>
      </c>
      <c r="G167" s="36" t="s">
        <v>2018</v>
      </c>
      <c r="H167" s="36" t="s">
        <v>2290</v>
      </c>
      <c r="I167" s="36" t="s">
        <v>2291</v>
      </c>
      <c r="J167" s="36"/>
      <c r="K167" s="56"/>
      <c r="L167" s="57" t="s">
        <v>2299</v>
      </c>
      <c r="M167" s="58" t="s">
        <v>2900</v>
      </c>
      <c r="N167" s="56" t="s">
        <v>2901</v>
      </c>
      <c r="O167" s="36"/>
      <c r="P167" s="36" t="s">
        <v>1933</v>
      </c>
      <c r="Q167" s="36"/>
      <c r="R167" s="36"/>
      <c r="S167" s="36"/>
      <c r="T167" s="36"/>
      <c r="U167" s="36"/>
      <c r="V167" s="36"/>
      <c r="W167" s="36"/>
      <c r="X167" s="36"/>
      <c r="Y167" s="36"/>
      <c r="Z167" s="32" t="s">
        <v>2295</v>
      </c>
    </row>
    <row r="168" spans="1:26" ht="16.95" customHeight="1" x14ac:dyDescent="0.25">
      <c r="A168" s="38" t="s">
        <v>2902</v>
      </c>
      <c r="B168" s="38">
        <v>3</v>
      </c>
      <c r="C168" s="38" t="s">
        <v>2303</v>
      </c>
      <c r="D168" s="38"/>
      <c r="E168" s="38" t="s">
        <v>1933</v>
      </c>
      <c r="F168" s="39" t="s">
        <v>2251</v>
      </c>
      <c r="G168" s="38" t="s">
        <v>2304</v>
      </c>
      <c r="H168" s="38" t="s">
        <v>2290</v>
      </c>
      <c r="I168" s="38" t="s">
        <v>2291</v>
      </c>
      <c r="J168" s="38"/>
      <c r="K168" s="59"/>
      <c r="L168" s="60" t="s">
        <v>2299</v>
      </c>
      <c r="M168" s="61" t="s">
        <v>2903</v>
      </c>
      <c r="N168" s="59" t="s">
        <v>2904</v>
      </c>
      <c r="O168" s="38" t="s">
        <v>1933</v>
      </c>
      <c r="P168" s="38" t="s">
        <v>1933</v>
      </c>
      <c r="Q168" s="38"/>
      <c r="R168" s="38"/>
      <c r="S168" s="38"/>
      <c r="T168" s="38"/>
      <c r="U168" s="38"/>
      <c r="V168" s="38" t="s">
        <v>1933</v>
      </c>
      <c r="W168" s="38"/>
      <c r="X168" s="38"/>
      <c r="Y168" s="38"/>
      <c r="Z168" s="32" t="s">
        <v>2295</v>
      </c>
    </row>
    <row r="169" spans="1:26" ht="16.95" customHeight="1" x14ac:dyDescent="0.25">
      <c r="A169" s="34" t="s">
        <v>2905</v>
      </c>
      <c r="B169" s="34">
        <v>3</v>
      </c>
      <c r="C169" s="34" t="s">
        <v>2288</v>
      </c>
      <c r="D169" s="34"/>
      <c r="E169" s="34"/>
      <c r="F169" s="35" t="s">
        <v>2503</v>
      </c>
      <c r="G169" s="34" t="s">
        <v>2298</v>
      </c>
      <c r="H169" s="34" t="s">
        <v>2290</v>
      </c>
      <c r="I169" s="34"/>
      <c r="J169" s="34"/>
      <c r="K169" s="53"/>
      <c r="L169" s="54" t="s">
        <v>2343</v>
      </c>
      <c r="M169" s="55" t="s">
        <v>2906</v>
      </c>
      <c r="N169" s="53" t="s">
        <v>2907</v>
      </c>
      <c r="O169" s="34"/>
      <c r="P169" s="34"/>
      <c r="Q169" s="34"/>
      <c r="R169" s="34" t="s">
        <v>1933</v>
      </c>
      <c r="S169" s="34"/>
      <c r="T169" s="34"/>
      <c r="U169" s="34"/>
      <c r="V169" s="34"/>
      <c r="W169" s="34"/>
      <c r="X169" s="34"/>
      <c r="Y169" s="34"/>
      <c r="Z169" s="32" t="s">
        <v>2295</v>
      </c>
    </row>
    <row r="170" spans="1:26" ht="16.95" customHeight="1" x14ac:dyDescent="0.25">
      <c r="A170" s="42" t="s">
        <v>2908</v>
      </c>
      <c r="B170" s="42">
        <v>3</v>
      </c>
      <c r="C170" s="42" t="s">
        <v>2315</v>
      </c>
      <c r="D170" s="42"/>
      <c r="E170" s="42"/>
      <c r="F170" s="43" t="s">
        <v>2251</v>
      </c>
      <c r="G170" s="42" t="s">
        <v>2298</v>
      </c>
      <c r="H170" s="42" t="s">
        <v>2290</v>
      </c>
      <c r="I170" s="42" t="s">
        <v>2291</v>
      </c>
      <c r="J170" s="42"/>
      <c r="K170" s="65"/>
      <c r="L170" s="66" t="s">
        <v>2343</v>
      </c>
      <c r="M170" s="67" t="s">
        <v>2909</v>
      </c>
      <c r="N170" s="65" t="s">
        <v>2910</v>
      </c>
      <c r="O170" s="42"/>
      <c r="P170" s="42"/>
      <c r="Q170" s="42"/>
      <c r="R170" s="42"/>
      <c r="S170" s="42"/>
      <c r="T170" s="42" t="s">
        <v>1933</v>
      </c>
      <c r="U170" s="42"/>
      <c r="V170" s="42" t="s">
        <v>1933</v>
      </c>
      <c r="W170" s="42" t="s">
        <v>1933</v>
      </c>
      <c r="X170" s="42"/>
      <c r="Y170" s="42"/>
      <c r="Z170" s="32" t="s">
        <v>2295</v>
      </c>
    </row>
    <row r="171" spans="1:26" ht="16.95" customHeight="1" x14ac:dyDescent="0.25">
      <c r="A171" s="48" t="s">
        <v>2911</v>
      </c>
      <c r="B171" s="48">
        <v>3</v>
      </c>
      <c r="C171" s="48" t="s">
        <v>2342</v>
      </c>
      <c r="D171" s="48"/>
      <c r="E171" s="48" t="s">
        <v>1933</v>
      </c>
      <c r="F171" s="49" t="s">
        <v>2251</v>
      </c>
      <c r="G171" s="48" t="s">
        <v>2309</v>
      </c>
      <c r="H171" s="48" t="s">
        <v>2290</v>
      </c>
      <c r="I171" s="48" t="s">
        <v>2291</v>
      </c>
      <c r="J171" s="48"/>
      <c r="K171" s="79"/>
      <c r="L171" s="75" t="s">
        <v>2484</v>
      </c>
      <c r="M171" s="76" t="s">
        <v>2912</v>
      </c>
      <c r="N171" s="74" t="s">
        <v>2913</v>
      </c>
      <c r="O171" s="48"/>
      <c r="P171" s="48"/>
      <c r="Q171" s="48" t="s">
        <v>1933</v>
      </c>
      <c r="R171" s="48"/>
      <c r="S171" s="48"/>
      <c r="T171" s="48"/>
      <c r="U171" s="48"/>
      <c r="V171" s="48"/>
      <c r="W171" s="48"/>
      <c r="X171" s="48"/>
      <c r="Y171" s="48"/>
      <c r="Z171" s="32" t="s">
        <v>2295</v>
      </c>
    </row>
    <row r="172" spans="1:26" ht="16.95" customHeight="1" x14ac:dyDescent="0.25">
      <c r="A172" s="46" t="s">
        <v>2914</v>
      </c>
      <c r="B172" s="46">
        <v>3</v>
      </c>
      <c r="C172" s="46" t="s">
        <v>2334</v>
      </c>
      <c r="D172" s="46"/>
      <c r="E172" s="46" t="s">
        <v>1933</v>
      </c>
      <c r="F172" s="47" t="s">
        <v>2371</v>
      </c>
      <c r="G172" s="46" t="s">
        <v>2915</v>
      </c>
      <c r="H172" s="46" t="s">
        <v>2290</v>
      </c>
      <c r="I172" s="46" t="s">
        <v>2291</v>
      </c>
      <c r="J172" s="46" t="s">
        <v>2310</v>
      </c>
      <c r="K172" s="71" t="s">
        <v>2916</v>
      </c>
      <c r="L172" s="72" t="s">
        <v>2484</v>
      </c>
      <c r="M172" s="73" t="s">
        <v>2917</v>
      </c>
      <c r="N172" s="71" t="s">
        <v>2918</v>
      </c>
      <c r="O172" s="46" t="s">
        <v>1933</v>
      </c>
      <c r="P172" s="46" t="s">
        <v>1933</v>
      </c>
      <c r="Q172" s="46"/>
      <c r="R172" s="46"/>
      <c r="S172" s="46"/>
      <c r="T172" s="46" t="s">
        <v>1933</v>
      </c>
      <c r="U172" s="46"/>
      <c r="V172" s="46" t="s">
        <v>1933</v>
      </c>
      <c r="W172" s="46"/>
      <c r="X172" s="46"/>
      <c r="Y172" s="46"/>
      <c r="Z172" s="32" t="s">
        <v>2295</v>
      </c>
    </row>
    <row r="173" spans="1:26" ht="16.95" customHeight="1" x14ac:dyDescent="0.25">
      <c r="A173" s="48" t="s">
        <v>2919</v>
      </c>
      <c r="B173" s="48">
        <v>3</v>
      </c>
      <c r="C173" s="48" t="s">
        <v>2342</v>
      </c>
      <c r="D173" s="48"/>
      <c r="E173" s="48" t="s">
        <v>1933</v>
      </c>
      <c r="F173" s="49" t="s">
        <v>2251</v>
      </c>
      <c r="G173" s="48" t="s">
        <v>2289</v>
      </c>
      <c r="H173" s="48" t="s">
        <v>2290</v>
      </c>
      <c r="I173" s="48" t="s">
        <v>2291</v>
      </c>
      <c r="J173" s="48"/>
      <c r="K173" s="79"/>
      <c r="L173" s="75" t="s">
        <v>2484</v>
      </c>
      <c r="M173" s="76" t="s">
        <v>2920</v>
      </c>
      <c r="N173" s="74" t="s">
        <v>2921</v>
      </c>
      <c r="O173" s="48"/>
      <c r="P173" s="48"/>
      <c r="Q173" s="48" t="s">
        <v>1933</v>
      </c>
      <c r="R173" s="48"/>
      <c r="S173" s="48" t="s">
        <v>1933</v>
      </c>
      <c r="T173" s="48"/>
      <c r="U173" s="48"/>
      <c r="V173" s="48"/>
      <c r="W173" s="48"/>
      <c r="X173" s="48"/>
      <c r="Y173" s="48"/>
      <c r="Z173" s="32" t="s">
        <v>2295</v>
      </c>
    </row>
    <row r="174" spans="1:26" ht="16.95" customHeight="1" x14ac:dyDescent="0.25">
      <c r="A174" s="48" t="s">
        <v>2922</v>
      </c>
      <c r="B174" s="48">
        <v>3</v>
      </c>
      <c r="C174" s="48" t="s">
        <v>2342</v>
      </c>
      <c r="D174" s="48"/>
      <c r="E174" s="48"/>
      <c r="F174" s="49" t="s">
        <v>2251</v>
      </c>
      <c r="G174" s="48" t="s">
        <v>2298</v>
      </c>
      <c r="H174" s="48" t="s">
        <v>2290</v>
      </c>
      <c r="I174" s="48" t="s">
        <v>2291</v>
      </c>
      <c r="J174" s="48" t="s">
        <v>2310</v>
      </c>
      <c r="K174" s="74" t="s">
        <v>2923</v>
      </c>
      <c r="L174" s="75" t="s">
        <v>2292</v>
      </c>
      <c r="M174" s="76" t="s">
        <v>2924</v>
      </c>
      <c r="N174" s="74" t="s">
        <v>2925</v>
      </c>
      <c r="O174" s="48"/>
      <c r="P174" s="48"/>
      <c r="Q174" s="48"/>
      <c r="R174" s="48"/>
      <c r="S174" s="48" t="s">
        <v>1933</v>
      </c>
      <c r="T174" s="48"/>
      <c r="U174" s="48"/>
      <c r="V174" s="48"/>
      <c r="W174" s="48"/>
      <c r="X174" s="48"/>
      <c r="Y174" s="48"/>
      <c r="Z174" s="32" t="s">
        <v>2295</v>
      </c>
    </row>
    <row r="175" spans="1:26" ht="16.95" customHeight="1" x14ac:dyDescent="0.25">
      <c r="A175" s="36" t="s">
        <v>2926</v>
      </c>
      <c r="B175" s="36">
        <v>3</v>
      </c>
      <c r="C175" s="36" t="s">
        <v>2297</v>
      </c>
      <c r="D175" s="36"/>
      <c r="E175" s="36"/>
      <c r="F175" s="37" t="s">
        <v>2927</v>
      </c>
      <c r="G175" s="36" t="s">
        <v>2289</v>
      </c>
      <c r="H175" s="36"/>
      <c r="I175" s="36" t="s">
        <v>2291</v>
      </c>
      <c r="J175" s="36"/>
      <c r="K175" s="56"/>
      <c r="L175" s="57" t="s">
        <v>2292</v>
      </c>
      <c r="M175" s="58" t="s">
        <v>2928</v>
      </c>
      <c r="N175" s="56" t="s">
        <v>2929</v>
      </c>
      <c r="O175" s="36"/>
      <c r="P175" s="36"/>
      <c r="Q175" s="36"/>
      <c r="R175" s="36"/>
      <c r="S175" s="36"/>
      <c r="T175" s="36" t="s">
        <v>1933</v>
      </c>
      <c r="U175" s="36" t="s">
        <v>1933</v>
      </c>
      <c r="V175" s="36" t="s">
        <v>1933</v>
      </c>
      <c r="W175" s="36"/>
      <c r="X175" s="36"/>
      <c r="Y175" s="36"/>
      <c r="Z175" s="32" t="s">
        <v>2295</v>
      </c>
    </row>
    <row r="176" spans="1:26" ht="16.95" customHeight="1" x14ac:dyDescent="0.25">
      <c r="A176" s="48" t="s">
        <v>2930</v>
      </c>
      <c r="B176" s="48">
        <v>3</v>
      </c>
      <c r="C176" s="48" t="s">
        <v>2342</v>
      </c>
      <c r="D176" s="48"/>
      <c r="E176" s="48"/>
      <c r="F176" s="49" t="s">
        <v>2251</v>
      </c>
      <c r="G176" s="48" t="s">
        <v>2018</v>
      </c>
      <c r="H176" s="48" t="s">
        <v>2290</v>
      </c>
      <c r="I176" s="48" t="s">
        <v>2291</v>
      </c>
      <c r="J176" s="48"/>
      <c r="K176" s="74"/>
      <c r="L176" s="75" t="s">
        <v>2292</v>
      </c>
      <c r="M176" s="76" t="s">
        <v>2931</v>
      </c>
      <c r="N176" s="74" t="s">
        <v>2932</v>
      </c>
      <c r="O176" s="48"/>
      <c r="P176" s="48" t="s">
        <v>1933</v>
      </c>
      <c r="Q176" s="48"/>
      <c r="R176" s="48" t="s">
        <v>1933</v>
      </c>
      <c r="S176" s="48"/>
      <c r="T176" s="48"/>
      <c r="U176" s="48"/>
      <c r="V176" s="48"/>
      <c r="W176" s="48" t="s">
        <v>1933</v>
      </c>
      <c r="X176" s="48"/>
      <c r="Y176" s="48"/>
      <c r="Z176" s="32" t="s">
        <v>2295</v>
      </c>
    </row>
    <row r="177" spans="1:26" ht="16.95" customHeight="1" x14ac:dyDescent="0.25">
      <c r="A177" s="34" t="s">
        <v>2933</v>
      </c>
      <c r="B177" s="34">
        <v>3</v>
      </c>
      <c r="C177" s="34" t="s">
        <v>2288</v>
      </c>
      <c r="D177" s="34"/>
      <c r="E177" s="34" t="s">
        <v>1933</v>
      </c>
      <c r="F177" s="35" t="s">
        <v>2251</v>
      </c>
      <c r="G177" s="34" t="s">
        <v>2298</v>
      </c>
      <c r="H177" s="34" t="s">
        <v>2290</v>
      </c>
      <c r="I177" s="34"/>
      <c r="J177" s="34"/>
      <c r="K177" s="53"/>
      <c r="L177" s="54" t="s">
        <v>2299</v>
      </c>
      <c r="M177" s="55" t="s">
        <v>2934</v>
      </c>
      <c r="N177" s="53" t="s">
        <v>2935</v>
      </c>
      <c r="O177" s="34"/>
      <c r="P177" s="34"/>
      <c r="Q177" s="34"/>
      <c r="R177" s="34" t="s">
        <v>1933</v>
      </c>
      <c r="S177" s="34"/>
      <c r="T177" s="34"/>
      <c r="U177" s="34"/>
      <c r="V177" s="34"/>
      <c r="W177" s="34"/>
      <c r="X177" s="34"/>
      <c r="Y177" s="34"/>
      <c r="Z177" s="32" t="s">
        <v>2295</v>
      </c>
    </row>
    <row r="178" spans="1:26" ht="16.95" customHeight="1" x14ac:dyDescent="0.25">
      <c r="A178" s="34" t="s">
        <v>2936</v>
      </c>
      <c r="B178" s="34">
        <v>3</v>
      </c>
      <c r="C178" s="34" t="s">
        <v>2288</v>
      </c>
      <c r="D178" s="34"/>
      <c r="E178" s="34"/>
      <c r="F178" s="35" t="s">
        <v>2251</v>
      </c>
      <c r="G178" s="34" t="s">
        <v>2289</v>
      </c>
      <c r="H178" s="34" t="s">
        <v>2290</v>
      </c>
      <c r="I178" s="34" t="s">
        <v>2291</v>
      </c>
      <c r="J178" s="34"/>
      <c r="K178" s="53"/>
      <c r="L178" s="54" t="s">
        <v>2338</v>
      </c>
      <c r="M178" s="55" t="s">
        <v>2937</v>
      </c>
      <c r="N178" s="53" t="s">
        <v>2938</v>
      </c>
      <c r="O178" s="34"/>
      <c r="P178" s="34" t="s">
        <v>1933</v>
      </c>
      <c r="Q178" s="34" t="s">
        <v>1933</v>
      </c>
      <c r="R178" s="34" t="s">
        <v>1933</v>
      </c>
      <c r="S178" s="34" t="s">
        <v>1933</v>
      </c>
      <c r="T178" s="34" t="s">
        <v>1933</v>
      </c>
      <c r="U178" s="34"/>
      <c r="V178" s="34"/>
      <c r="W178" s="34"/>
      <c r="X178" s="34"/>
      <c r="Y178" s="34"/>
      <c r="Z178" s="32" t="s">
        <v>2295</v>
      </c>
    </row>
    <row r="179" spans="1:26" ht="16.95" customHeight="1" x14ac:dyDescent="0.25">
      <c r="A179" s="36" t="s">
        <v>2939</v>
      </c>
      <c r="B179" s="36">
        <v>3</v>
      </c>
      <c r="C179" s="36" t="s">
        <v>2297</v>
      </c>
      <c r="D179" s="36"/>
      <c r="E179" s="36"/>
      <c r="F179" s="37" t="s">
        <v>2251</v>
      </c>
      <c r="G179" s="36" t="s">
        <v>2309</v>
      </c>
      <c r="H179" s="36" t="s">
        <v>2290</v>
      </c>
      <c r="I179" s="36" t="s">
        <v>2291</v>
      </c>
      <c r="J179" s="36"/>
      <c r="K179" s="56"/>
      <c r="L179" s="57" t="s">
        <v>2292</v>
      </c>
      <c r="M179" s="58" t="s">
        <v>2940</v>
      </c>
      <c r="N179" s="56" t="s">
        <v>2941</v>
      </c>
      <c r="O179" s="36" t="s">
        <v>1933</v>
      </c>
      <c r="P179" s="36" t="s">
        <v>1933</v>
      </c>
      <c r="Q179" s="36" t="s">
        <v>1933</v>
      </c>
      <c r="R179" s="36" t="s">
        <v>1933</v>
      </c>
      <c r="S179" s="36" t="s">
        <v>1933</v>
      </c>
      <c r="T179" s="36" t="s">
        <v>1933</v>
      </c>
      <c r="U179" s="36" t="s">
        <v>1933</v>
      </c>
      <c r="V179" s="36" t="s">
        <v>1933</v>
      </c>
      <c r="W179" s="36" t="s">
        <v>1933</v>
      </c>
      <c r="X179" s="36"/>
      <c r="Y179" s="36"/>
      <c r="Z179" s="32" t="s">
        <v>2295</v>
      </c>
    </row>
    <row r="180" spans="1:26" ht="16.95" customHeight="1" x14ac:dyDescent="0.25">
      <c r="A180" s="42" t="s">
        <v>2942</v>
      </c>
      <c r="B180" s="42">
        <v>3</v>
      </c>
      <c r="C180" s="42" t="s">
        <v>2315</v>
      </c>
      <c r="D180" s="42"/>
      <c r="E180" s="42" t="s">
        <v>1933</v>
      </c>
      <c r="F180" s="43" t="s">
        <v>2251</v>
      </c>
      <c r="G180" s="42" t="s">
        <v>2304</v>
      </c>
      <c r="H180" s="42" t="s">
        <v>2290</v>
      </c>
      <c r="I180" s="42" t="s">
        <v>2291</v>
      </c>
      <c r="J180" s="42"/>
      <c r="K180" s="80"/>
      <c r="L180" s="66" t="s">
        <v>2534</v>
      </c>
      <c r="M180" s="67" t="s">
        <v>2943</v>
      </c>
      <c r="N180" s="65" t="s">
        <v>2944</v>
      </c>
      <c r="O180" s="42"/>
      <c r="P180" s="42"/>
      <c r="Q180" s="42" t="s">
        <v>1933</v>
      </c>
      <c r="R180" s="42" t="s">
        <v>1933</v>
      </c>
      <c r="S180" s="42" t="s">
        <v>1933</v>
      </c>
      <c r="T180" s="42"/>
      <c r="U180" s="42"/>
      <c r="V180" s="42"/>
      <c r="W180" s="42" t="s">
        <v>1933</v>
      </c>
      <c r="X180" s="42"/>
      <c r="Y180" s="42"/>
      <c r="Z180" s="32" t="s">
        <v>2295</v>
      </c>
    </row>
    <row r="181" spans="1:26" ht="16.95" customHeight="1" x14ac:dyDescent="0.25">
      <c r="A181" s="40" t="s">
        <v>2945</v>
      </c>
      <c r="B181" s="40">
        <v>3</v>
      </c>
      <c r="C181" s="40" t="s">
        <v>2308</v>
      </c>
      <c r="D181" s="40"/>
      <c r="E181" s="40" t="s">
        <v>1933</v>
      </c>
      <c r="F181" s="41" t="s">
        <v>2251</v>
      </c>
      <c r="G181" s="40" t="s">
        <v>2298</v>
      </c>
      <c r="H181" s="40" t="s">
        <v>2290</v>
      </c>
      <c r="I181" s="40" t="s">
        <v>2291</v>
      </c>
      <c r="J181" s="40" t="s">
        <v>2310</v>
      </c>
      <c r="K181" s="62" t="s">
        <v>2946</v>
      </c>
      <c r="L181" s="63" t="s">
        <v>2299</v>
      </c>
      <c r="M181" s="64" t="s">
        <v>2947</v>
      </c>
      <c r="N181" s="62" t="s">
        <v>2948</v>
      </c>
      <c r="O181" s="40" t="s">
        <v>1933</v>
      </c>
      <c r="P181" s="40"/>
      <c r="Q181" s="40"/>
      <c r="R181" s="40"/>
      <c r="S181" s="40"/>
      <c r="T181" s="40" t="s">
        <v>1933</v>
      </c>
      <c r="U181" s="40" t="s">
        <v>1933</v>
      </c>
      <c r="V181" s="40" t="s">
        <v>1933</v>
      </c>
      <c r="W181" s="40"/>
      <c r="X181" s="40"/>
      <c r="Y181" s="40"/>
      <c r="Z181" s="32" t="s">
        <v>2295</v>
      </c>
    </row>
    <row r="182" spans="1:26" ht="16.95" customHeight="1" x14ac:dyDescent="0.25">
      <c r="A182" s="38" t="s">
        <v>2949</v>
      </c>
      <c r="B182" s="38">
        <v>3</v>
      </c>
      <c r="C182" s="38" t="s">
        <v>2303</v>
      </c>
      <c r="D182" s="38" t="s">
        <v>1933</v>
      </c>
      <c r="E182" s="38"/>
      <c r="F182" s="39" t="s">
        <v>2472</v>
      </c>
      <c r="G182" s="38" t="s">
        <v>2304</v>
      </c>
      <c r="H182" s="38" t="s">
        <v>2290</v>
      </c>
      <c r="I182" s="38" t="s">
        <v>2291</v>
      </c>
      <c r="J182" s="38" t="s">
        <v>2310</v>
      </c>
      <c r="K182" s="59" t="s">
        <v>2950</v>
      </c>
      <c r="L182" s="60" t="s">
        <v>2338</v>
      </c>
      <c r="M182" s="61" t="s">
        <v>2951</v>
      </c>
      <c r="N182" s="59" t="s">
        <v>2952</v>
      </c>
      <c r="O182" s="38" t="s">
        <v>1933</v>
      </c>
      <c r="P182" s="38" t="s">
        <v>1933</v>
      </c>
      <c r="Q182" s="38" t="s">
        <v>1933</v>
      </c>
      <c r="R182" s="38"/>
      <c r="S182" s="38"/>
      <c r="T182" s="38"/>
      <c r="U182" s="38"/>
      <c r="V182" s="38" t="s">
        <v>1933</v>
      </c>
      <c r="W182" s="38"/>
      <c r="X182" s="38"/>
      <c r="Y182" s="38"/>
      <c r="Z182" s="32" t="s">
        <v>2295</v>
      </c>
    </row>
    <row r="183" spans="1:26" ht="16.95" customHeight="1" x14ac:dyDescent="0.25">
      <c r="A183" s="34" t="s">
        <v>2953</v>
      </c>
      <c r="B183" s="34">
        <v>3</v>
      </c>
      <c r="C183" s="34" t="s">
        <v>2288</v>
      </c>
      <c r="D183" s="34"/>
      <c r="E183" s="34"/>
      <c r="F183" s="35" t="s">
        <v>2251</v>
      </c>
      <c r="G183" s="34" t="s">
        <v>2865</v>
      </c>
      <c r="H183" s="34" t="s">
        <v>2290</v>
      </c>
      <c r="I183" s="34" t="s">
        <v>2291</v>
      </c>
      <c r="J183" s="34" t="s">
        <v>2310</v>
      </c>
      <c r="K183" s="53" t="s">
        <v>2954</v>
      </c>
      <c r="L183" s="54" t="s">
        <v>2292</v>
      </c>
      <c r="M183" s="55" t="s">
        <v>2955</v>
      </c>
      <c r="N183" s="53" t="s">
        <v>2956</v>
      </c>
      <c r="O183" s="34"/>
      <c r="P183" s="34"/>
      <c r="Q183" s="34"/>
      <c r="R183" s="34"/>
      <c r="S183" s="34"/>
      <c r="T183" s="34" t="s">
        <v>1933</v>
      </c>
      <c r="U183" s="34"/>
      <c r="V183" s="34" t="s">
        <v>1933</v>
      </c>
      <c r="W183" s="34"/>
      <c r="X183" s="34"/>
      <c r="Y183" s="34"/>
      <c r="Z183" s="32" t="s">
        <v>2295</v>
      </c>
    </row>
    <row r="184" spans="1:26" ht="16.95" customHeight="1" x14ac:dyDescent="0.25">
      <c r="A184" s="42" t="s">
        <v>2957</v>
      </c>
      <c r="B184" s="42">
        <v>3</v>
      </c>
      <c r="C184" s="42" t="s">
        <v>2315</v>
      </c>
      <c r="D184" s="42"/>
      <c r="E184" s="42" t="s">
        <v>1933</v>
      </c>
      <c r="F184" s="43" t="s">
        <v>2251</v>
      </c>
      <c r="G184" s="42" t="s">
        <v>2304</v>
      </c>
      <c r="H184" s="42" t="s">
        <v>2290</v>
      </c>
      <c r="I184" s="42" t="s">
        <v>2291</v>
      </c>
      <c r="J184" s="42" t="s">
        <v>2310</v>
      </c>
      <c r="K184" s="65" t="s">
        <v>2958</v>
      </c>
      <c r="L184" s="66" t="s">
        <v>2484</v>
      </c>
      <c r="M184" s="67" t="s">
        <v>2959</v>
      </c>
      <c r="N184" s="65" t="s">
        <v>2960</v>
      </c>
      <c r="O184" s="42"/>
      <c r="P184" s="42"/>
      <c r="Q184" s="42"/>
      <c r="R184" s="42"/>
      <c r="S184" s="42"/>
      <c r="T184" s="42" t="s">
        <v>1933</v>
      </c>
      <c r="U184" s="42" t="s">
        <v>1933</v>
      </c>
      <c r="V184" s="42" t="s">
        <v>1933</v>
      </c>
      <c r="W184" s="42" t="s">
        <v>1933</v>
      </c>
      <c r="X184" s="42"/>
      <c r="Y184" s="42"/>
      <c r="Z184" s="32" t="s">
        <v>2295</v>
      </c>
    </row>
    <row r="185" spans="1:26" ht="16.95" customHeight="1" x14ac:dyDescent="0.25">
      <c r="A185" s="42" t="s">
        <v>2961</v>
      </c>
      <c r="B185" s="42">
        <v>3</v>
      </c>
      <c r="C185" s="42" t="s">
        <v>2315</v>
      </c>
      <c r="D185" s="42"/>
      <c r="E185" s="42" t="s">
        <v>1933</v>
      </c>
      <c r="F185" s="43" t="s">
        <v>2251</v>
      </c>
      <c r="G185" s="42" t="s">
        <v>2304</v>
      </c>
      <c r="H185" s="42" t="s">
        <v>2290</v>
      </c>
      <c r="I185" s="42" t="s">
        <v>2291</v>
      </c>
      <c r="J185" s="42" t="s">
        <v>2310</v>
      </c>
      <c r="K185" s="65" t="s">
        <v>2962</v>
      </c>
      <c r="L185" s="66" t="s">
        <v>2534</v>
      </c>
      <c r="M185" s="67" t="s">
        <v>2963</v>
      </c>
      <c r="N185" s="65" t="s">
        <v>2964</v>
      </c>
      <c r="O185" s="42"/>
      <c r="P185" s="42"/>
      <c r="Q185" s="42"/>
      <c r="R185" s="42"/>
      <c r="S185" s="42"/>
      <c r="T185" s="42" t="s">
        <v>1933</v>
      </c>
      <c r="U185" s="42" t="s">
        <v>1933</v>
      </c>
      <c r="V185" s="42" t="s">
        <v>1933</v>
      </c>
      <c r="W185" s="42"/>
      <c r="X185" s="42"/>
      <c r="Y185" s="42"/>
      <c r="Z185" s="32" t="s">
        <v>2295</v>
      </c>
    </row>
    <row r="186" spans="1:26" ht="16.95" customHeight="1" x14ac:dyDescent="0.25">
      <c r="A186" s="36" t="s">
        <v>2965</v>
      </c>
      <c r="B186" s="36">
        <v>3</v>
      </c>
      <c r="C186" s="36" t="s">
        <v>2297</v>
      </c>
      <c r="D186" s="36"/>
      <c r="E186" s="36"/>
      <c r="F186" s="37" t="s">
        <v>2338</v>
      </c>
      <c r="G186" s="36" t="s">
        <v>2304</v>
      </c>
      <c r="H186" s="36" t="s">
        <v>2290</v>
      </c>
      <c r="I186" s="36" t="s">
        <v>2291</v>
      </c>
      <c r="J186" s="36" t="s">
        <v>2310</v>
      </c>
      <c r="K186" s="56" t="s">
        <v>2966</v>
      </c>
      <c r="L186" s="57" t="s">
        <v>2967</v>
      </c>
      <c r="M186" s="58" t="s">
        <v>2968</v>
      </c>
      <c r="N186" s="56" t="s">
        <v>2969</v>
      </c>
      <c r="O186" s="36" t="s">
        <v>1933</v>
      </c>
      <c r="P186" s="36" t="s">
        <v>1933</v>
      </c>
      <c r="Q186" s="36"/>
      <c r="R186" s="36"/>
      <c r="S186" s="36"/>
      <c r="T186" s="36"/>
      <c r="U186" s="36"/>
      <c r="V186" s="36" t="s">
        <v>1933</v>
      </c>
      <c r="W186" s="36" t="s">
        <v>1933</v>
      </c>
      <c r="X186" s="36"/>
      <c r="Y186" s="36"/>
      <c r="Z186" s="32" t="s">
        <v>2295</v>
      </c>
    </row>
    <row r="187" spans="1:26" ht="16.95" customHeight="1" x14ac:dyDescent="0.25">
      <c r="A187" s="42" t="s">
        <v>2970</v>
      </c>
      <c r="B187" s="42">
        <v>3</v>
      </c>
      <c r="C187" s="42" t="s">
        <v>2315</v>
      </c>
      <c r="D187" s="42"/>
      <c r="E187" s="42" t="s">
        <v>1933</v>
      </c>
      <c r="F187" s="43" t="s">
        <v>2251</v>
      </c>
      <c r="G187" s="42" t="s">
        <v>2018</v>
      </c>
      <c r="H187" s="42" t="s">
        <v>2290</v>
      </c>
      <c r="I187" s="42" t="s">
        <v>2291</v>
      </c>
      <c r="J187" s="42" t="s">
        <v>2310</v>
      </c>
      <c r="K187" s="65" t="s">
        <v>2971</v>
      </c>
      <c r="L187" s="66" t="s">
        <v>2299</v>
      </c>
      <c r="M187" s="67" t="s">
        <v>2972</v>
      </c>
      <c r="N187" s="65" t="s">
        <v>2973</v>
      </c>
      <c r="O187" s="42"/>
      <c r="P187" s="42"/>
      <c r="Q187" s="42"/>
      <c r="R187" s="42"/>
      <c r="S187" s="42"/>
      <c r="T187" s="42" t="s">
        <v>1933</v>
      </c>
      <c r="U187" s="42"/>
      <c r="V187" s="42" t="s">
        <v>1933</v>
      </c>
      <c r="W187" s="42" t="s">
        <v>1933</v>
      </c>
      <c r="X187" s="42"/>
      <c r="Y187" s="42"/>
      <c r="Z187" s="32" t="s">
        <v>2295</v>
      </c>
    </row>
    <row r="188" spans="1:26" ht="16.95" customHeight="1" x14ac:dyDescent="0.25">
      <c r="A188" s="48" t="s">
        <v>2974</v>
      </c>
      <c r="B188" s="48">
        <v>3</v>
      </c>
      <c r="C188" s="48" t="s">
        <v>2342</v>
      </c>
      <c r="D188" s="48"/>
      <c r="E188" s="48" t="s">
        <v>1933</v>
      </c>
      <c r="F188" s="49" t="s">
        <v>2251</v>
      </c>
      <c r="G188" s="48" t="s">
        <v>2865</v>
      </c>
      <c r="H188" s="48" t="s">
        <v>2290</v>
      </c>
      <c r="I188" s="48" t="s">
        <v>2291</v>
      </c>
      <c r="J188" s="48" t="s">
        <v>2310</v>
      </c>
      <c r="K188" s="74" t="s">
        <v>2975</v>
      </c>
      <c r="L188" s="75" t="s">
        <v>2299</v>
      </c>
      <c r="M188" s="76" t="s">
        <v>2976</v>
      </c>
      <c r="N188" s="74" t="s">
        <v>2977</v>
      </c>
      <c r="O188" s="48"/>
      <c r="P188" s="48"/>
      <c r="Q188" s="48"/>
      <c r="R188" s="48"/>
      <c r="S188" s="48"/>
      <c r="T188" s="48"/>
      <c r="U188" s="48" t="s">
        <v>1933</v>
      </c>
      <c r="V188" s="48"/>
      <c r="W188" s="48"/>
      <c r="X188" s="48"/>
      <c r="Y188" s="48"/>
      <c r="Z188" s="32" t="s">
        <v>2295</v>
      </c>
    </row>
    <row r="189" spans="1:26" ht="16.95" customHeight="1" x14ac:dyDescent="0.25">
      <c r="A189" s="40" t="s">
        <v>2978</v>
      </c>
      <c r="B189" s="40">
        <v>3</v>
      </c>
      <c r="C189" s="40" t="s">
        <v>2308</v>
      </c>
      <c r="D189" s="40"/>
      <c r="E189" s="40" t="s">
        <v>1933</v>
      </c>
      <c r="F189" s="41" t="s">
        <v>2251</v>
      </c>
      <c r="G189" s="40" t="s">
        <v>2309</v>
      </c>
      <c r="H189" s="40"/>
      <c r="I189" s="40" t="s">
        <v>2291</v>
      </c>
      <c r="J189" s="40" t="s">
        <v>2310</v>
      </c>
      <c r="K189" s="62" t="s">
        <v>2979</v>
      </c>
      <c r="L189" s="63" t="s">
        <v>2299</v>
      </c>
      <c r="M189" s="64" t="s">
        <v>2980</v>
      </c>
      <c r="N189" s="62" t="s">
        <v>2981</v>
      </c>
      <c r="O189" s="40" t="s">
        <v>1933</v>
      </c>
      <c r="P189" s="40"/>
      <c r="Q189" s="40"/>
      <c r="R189" s="40"/>
      <c r="S189" s="40"/>
      <c r="T189" s="40" t="s">
        <v>1933</v>
      </c>
      <c r="U189" s="40" t="s">
        <v>1933</v>
      </c>
      <c r="V189" s="40" t="s">
        <v>1933</v>
      </c>
      <c r="W189" s="40"/>
      <c r="X189" s="40"/>
      <c r="Y189" s="40"/>
      <c r="Z189" s="32" t="s">
        <v>2295</v>
      </c>
    </row>
    <row r="190" spans="1:26" ht="16.95" customHeight="1" x14ac:dyDescent="0.25">
      <c r="A190" s="34" t="s">
        <v>2982</v>
      </c>
      <c r="B190" s="34">
        <v>3</v>
      </c>
      <c r="C190" s="34" t="s">
        <v>2288</v>
      </c>
      <c r="D190" s="34" t="s">
        <v>1933</v>
      </c>
      <c r="E190" s="34"/>
      <c r="F190" s="35" t="s">
        <v>2573</v>
      </c>
      <c r="G190" s="34" t="s">
        <v>2298</v>
      </c>
      <c r="H190" s="34" t="s">
        <v>2290</v>
      </c>
      <c r="I190" s="34" t="s">
        <v>2291</v>
      </c>
      <c r="J190" s="34" t="s">
        <v>2310</v>
      </c>
      <c r="K190" s="53" t="s">
        <v>2983</v>
      </c>
      <c r="L190" s="54" t="s">
        <v>2662</v>
      </c>
      <c r="M190" s="55" t="s">
        <v>2984</v>
      </c>
      <c r="N190" s="53" t="s">
        <v>2985</v>
      </c>
      <c r="O190" s="34" t="s">
        <v>1933</v>
      </c>
      <c r="P190" s="34"/>
      <c r="Q190" s="34"/>
      <c r="R190" s="34"/>
      <c r="S190" s="34"/>
      <c r="T190" s="34"/>
      <c r="U190" s="34"/>
      <c r="V190" s="34" t="s">
        <v>1933</v>
      </c>
      <c r="W190" s="34"/>
      <c r="X190" s="34"/>
      <c r="Y190" s="34"/>
      <c r="Z190" s="32" t="s">
        <v>2295</v>
      </c>
    </row>
    <row r="191" spans="1:26" ht="16.95" customHeight="1" x14ac:dyDescent="0.25">
      <c r="A191" s="42" t="s">
        <v>2986</v>
      </c>
      <c r="B191" s="42">
        <v>3</v>
      </c>
      <c r="C191" s="42" t="s">
        <v>2315</v>
      </c>
      <c r="D191" s="42"/>
      <c r="E191" s="42"/>
      <c r="F191" s="43" t="s">
        <v>2987</v>
      </c>
      <c r="G191" s="42" t="s">
        <v>2298</v>
      </c>
      <c r="H191" s="42" t="s">
        <v>2290</v>
      </c>
      <c r="I191" s="42" t="s">
        <v>2291</v>
      </c>
      <c r="J191" s="42"/>
      <c r="K191" s="80"/>
      <c r="L191" s="66" t="s">
        <v>2292</v>
      </c>
      <c r="M191" s="67" t="s">
        <v>2988</v>
      </c>
      <c r="N191" s="65" t="s">
        <v>2989</v>
      </c>
      <c r="O191" s="42"/>
      <c r="P191" s="42"/>
      <c r="Q191" s="42"/>
      <c r="R191" s="42"/>
      <c r="S191" s="42" t="s">
        <v>1933</v>
      </c>
      <c r="T191" s="42"/>
      <c r="U191" s="42"/>
      <c r="V191" s="42"/>
      <c r="W191" s="42"/>
      <c r="X191" s="42"/>
      <c r="Y191" s="42"/>
      <c r="Z191" s="32" t="s">
        <v>2295</v>
      </c>
    </row>
    <row r="192" spans="1:26" ht="16.95" customHeight="1" x14ac:dyDescent="0.25">
      <c r="A192" s="34" t="s">
        <v>2990</v>
      </c>
      <c r="B192" s="34">
        <v>3</v>
      </c>
      <c r="C192" s="34" t="s">
        <v>2288</v>
      </c>
      <c r="D192" s="34"/>
      <c r="E192" s="34"/>
      <c r="F192" s="35" t="s">
        <v>2251</v>
      </c>
      <c r="G192" s="34" t="s">
        <v>2298</v>
      </c>
      <c r="H192" s="34" t="s">
        <v>2290</v>
      </c>
      <c r="I192" s="34" t="s">
        <v>2291</v>
      </c>
      <c r="J192" s="34" t="s">
        <v>2310</v>
      </c>
      <c r="K192" s="53" t="s">
        <v>2991</v>
      </c>
      <c r="L192" s="54" t="s">
        <v>2292</v>
      </c>
      <c r="M192" s="55" t="s">
        <v>2992</v>
      </c>
      <c r="N192" s="53" t="s">
        <v>2993</v>
      </c>
      <c r="O192" s="34"/>
      <c r="P192" s="34"/>
      <c r="Q192" s="34"/>
      <c r="R192" s="34"/>
      <c r="S192" s="34"/>
      <c r="T192" s="34" t="s">
        <v>1933</v>
      </c>
      <c r="U192" s="34"/>
      <c r="V192" s="34" t="s">
        <v>1933</v>
      </c>
      <c r="W192" s="34"/>
      <c r="X192" s="34"/>
      <c r="Y192" s="34"/>
      <c r="Z192" s="32" t="s">
        <v>2295</v>
      </c>
    </row>
    <row r="193" spans="1:26" ht="16.95" customHeight="1" x14ac:dyDescent="0.25">
      <c r="A193" s="36" t="s">
        <v>2994</v>
      </c>
      <c r="B193" s="36">
        <v>3</v>
      </c>
      <c r="C193" s="36" t="s">
        <v>2297</v>
      </c>
      <c r="D193" s="36"/>
      <c r="E193" s="36"/>
      <c r="F193" s="37" t="s">
        <v>2343</v>
      </c>
      <c r="G193" s="36" t="s">
        <v>2329</v>
      </c>
      <c r="H193" s="36" t="s">
        <v>2290</v>
      </c>
      <c r="I193" s="36" t="s">
        <v>2291</v>
      </c>
      <c r="J193" s="36" t="s">
        <v>2310</v>
      </c>
      <c r="K193" s="56" t="s">
        <v>2995</v>
      </c>
      <c r="L193" s="57" t="s">
        <v>2338</v>
      </c>
      <c r="M193" s="58" t="s">
        <v>2996</v>
      </c>
      <c r="N193" s="56" t="s">
        <v>2997</v>
      </c>
      <c r="O193" s="36"/>
      <c r="P193" s="36" t="s">
        <v>1933</v>
      </c>
      <c r="Q193" s="36"/>
      <c r="R193" s="36" t="s">
        <v>1933</v>
      </c>
      <c r="S193" s="36"/>
      <c r="T193" s="36"/>
      <c r="U193" s="36" t="s">
        <v>1933</v>
      </c>
      <c r="V193" s="36" t="s">
        <v>1933</v>
      </c>
      <c r="W193" s="36"/>
      <c r="X193" s="36"/>
      <c r="Y193" s="36"/>
      <c r="Z193" s="32" t="s">
        <v>2295</v>
      </c>
    </row>
    <row r="194" spans="1:26" ht="16.95" customHeight="1" x14ac:dyDescent="0.25">
      <c r="A194" s="40" t="s">
        <v>2998</v>
      </c>
      <c r="B194" s="40">
        <v>3</v>
      </c>
      <c r="C194" s="40" t="s">
        <v>2308</v>
      </c>
      <c r="D194" s="40"/>
      <c r="E194" s="40" t="s">
        <v>1933</v>
      </c>
      <c r="F194" s="41" t="s">
        <v>2251</v>
      </c>
      <c r="G194" s="40" t="s">
        <v>2309</v>
      </c>
      <c r="H194" s="40" t="s">
        <v>2290</v>
      </c>
      <c r="I194" s="40" t="s">
        <v>2291</v>
      </c>
      <c r="J194" s="40" t="s">
        <v>2310</v>
      </c>
      <c r="K194" s="62" t="s">
        <v>2359</v>
      </c>
      <c r="L194" s="63" t="s">
        <v>2484</v>
      </c>
      <c r="M194" s="64" t="s">
        <v>2999</v>
      </c>
      <c r="N194" s="62" t="s">
        <v>3000</v>
      </c>
      <c r="O194" s="40" t="s">
        <v>1933</v>
      </c>
      <c r="P194" s="40"/>
      <c r="Q194" s="40"/>
      <c r="R194" s="40"/>
      <c r="S194" s="40"/>
      <c r="T194" s="40" t="s">
        <v>1933</v>
      </c>
      <c r="U194" s="40" t="s">
        <v>1933</v>
      </c>
      <c r="V194" s="40" t="s">
        <v>1933</v>
      </c>
      <c r="W194" s="40"/>
      <c r="X194" s="40"/>
      <c r="Y194" s="40"/>
      <c r="Z194" s="32" t="s">
        <v>2295</v>
      </c>
    </row>
    <row r="195" spans="1:26" ht="16.95" customHeight="1" x14ac:dyDescent="0.25">
      <c r="A195" s="34" t="s">
        <v>3001</v>
      </c>
      <c r="B195" s="34">
        <v>3</v>
      </c>
      <c r="C195" s="34" t="s">
        <v>2288</v>
      </c>
      <c r="D195" s="34"/>
      <c r="E195" s="34"/>
      <c r="F195" s="35" t="s">
        <v>2370</v>
      </c>
      <c r="G195" s="34" t="s">
        <v>2289</v>
      </c>
      <c r="H195" s="34" t="s">
        <v>2290</v>
      </c>
      <c r="I195" s="34"/>
      <c r="J195" s="34"/>
      <c r="K195" s="53"/>
      <c r="L195" s="54" t="s">
        <v>2292</v>
      </c>
      <c r="M195" s="55" t="s">
        <v>3002</v>
      </c>
      <c r="N195" s="53" t="s">
        <v>3003</v>
      </c>
      <c r="O195" s="34" t="s">
        <v>1933</v>
      </c>
      <c r="P195" s="34" t="s">
        <v>1933</v>
      </c>
      <c r="Q195" s="34"/>
      <c r="R195" s="34"/>
      <c r="S195" s="34"/>
      <c r="T195" s="34"/>
      <c r="U195" s="34"/>
      <c r="V195" s="34"/>
      <c r="W195" s="34"/>
      <c r="X195" s="34"/>
      <c r="Y195" s="34"/>
      <c r="Z195" s="32" t="s">
        <v>2295</v>
      </c>
    </row>
    <row r="196" spans="1:26" ht="16.95" customHeight="1" x14ac:dyDescent="0.25">
      <c r="A196" s="42" t="s">
        <v>3004</v>
      </c>
      <c r="B196" s="42">
        <v>3</v>
      </c>
      <c r="C196" s="42" t="s">
        <v>2315</v>
      </c>
      <c r="D196" s="42" t="s">
        <v>1933</v>
      </c>
      <c r="E196" s="42"/>
      <c r="F196" s="43" t="s">
        <v>2472</v>
      </c>
      <c r="G196" s="42" t="s">
        <v>2304</v>
      </c>
      <c r="H196" s="42" t="s">
        <v>2290</v>
      </c>
      <c r="I196" s="42" t="s">
        <v>2291</v>
      </c>
      <c r="J196" s="42"/>
      <c r="K196" s="80"/>
      <c r="L196" s="66" t="s">
        <v>2427</v>
      </c>
      <c r="M196" s="67" t="s">
        <v>3005</v>
      </c>
      <c r="N196" s="65" t="s">
        <v>3006</v>
      </c>
      <c r="O196" s="42"/>
      <c r="P196" s="42" t="s">
        <v>1933</v>
      </c>
      <c r="Q196" s="42" t="s">
        <v>1933</v>
      </c>
      <c r="R196" s="42"/>
      <c r="S196" s="42" t="s">
        <v>1933</v>
      </c>
      <c r="T196" s="42"/>
      <c r="U196" s="42"/>
      <c r="V196" s="42"/>
      <c r="W196" s="42"/>
      <c r="X196" s="42"/>
      <c r="Y196" s="42"/>
      <c r="Z196" s="32" t="s">
        <v>2295</v>
      </c>
    </row>
    <row r="197" spans="1:26" ht="16.95" customHeight="1" x14ac:dyDescent="0.25">
      <c r="A197" s="36" t="s">
        <v>3007</v>
      </c>
      <c r="B197" s="36">
        <v>3</v>
      </c>
      <c r="C197" s="36" t="s">
        <v>2297</v>
      </c>
      <c r="D197" s="36"/>
      <c r="E197" s="36"/>
      <c r="F197" s="37" t="s">
        <v>2251</v>
      </c>
      <c r="G197" s="36" t="s">
        <v>2304</v>
      </c>
      <c r="H197" s="36" t="s">
        <v>2290</v>
      </c>
      <c r="I197" s="36" t="s">
        <v>2291</v>
      </c>
      <c r="J197" s="36" t="s">
        <v>2310</v>
      </c>
      <c r="K197" s="56" t="s">
        <v>3008</v>
      </c>
      <c r="L197" s="57" t="s">
        <v>2427</v>
      </c>
      <c r="M197" s="58" t="s">
        <v>3009</v>
      </c>
      <c r="N197" s="56" t="s">
        <v>3010</v>
      </c>
      <c r="O197" s="36" t="s">
        <v>1933</v>
      </c>
      <c r="P197" s="36"/>
      <c r="Q197" s="36"/>
      <c r="R197" s="36"/>
      <c r="S197" s="36" t="s">
        <v>1933</v>
      </c>
      <c r="T197" s="36"/>
      <c r="U197" s="36"/>
      <c r="V197" s="36" t="s">
        <v>1933</v>
      </c>
      <c r="W197" s="36"/>
      <c r="X197" s="36"/>
      <c r="Y197" s="36"/>
      <c r="Z197" s="32" t="s">
        <v>2295</v>
      </c>
    </row>
    <row r="198" spans="1:26" ht="16.95" customHeight="1" x14ac:dyDescent="0.25">
      <c r="A198" s="40" t="s">
        <v>3011</v>
      </c>
      <c r="B198" s="40">
        <v>3</v>
      </c>
      <c r="C198" s="40" t="s">
        <v>2308</v>
      </c>
      <c r="D198" s="40" t="s">
        <v>1933</v>
      </c>
      <c r="E198" s="40"/>
      <c r="F198" s="41" t="s">
        <v>2573</v>
      </c>
      <c r="G198" s="40" t="s">
        <v>2018</v>
      </c>
      <c r="H198" s="40" t="s">
        <v>2290</v>
      </c>
      <c r="I198" s="40" t="s">
        <v>2291</v>
      </c>
      <c r="J198" s="40"/>
      <c r="K198" s="62"/>
      <c r="L198" s="63" t="s">
        <v>2338</v>
      </c>
      <c r="M198" s="64" t="s">
        <v>3012</v>
      </c>
      <c r="N198" s="62" t="s">
        <v>3013</v>
      </c>
      <c r="O198" s="40"/>
      <c r="P198" s="40"/>
      <c r="Q198" s="40"/>
      <c r="R198" s="40"/>
      <c r="S198" s="40"/>
      <c r="T198" s="40"/>
      <c r="U198" s="40"/>
      <c r="V198" s="40" t="s">
        <v>1933</v>
      </c>
      <c r="W198" s="40"/>
      <c r="X198" s="40"/>
      <c r="Y198" s="40"/>
      <c r="Z198" s="32" t="s">
        <v>2295</v>
      </c>
    </row>
    <row r="199" spans="1:26" ht="16.95" customHeight="1" x14ac:dyDescent="0.25">
      <c r="A199" s="42" t="s">
        <v>3014</v>
      </c>
      <c r="B199" s="42">
        <v>3</v>
      </c>
      <c r="C199" s="42" t="s">
        <v>2315</v>
      </c>
      <c r="D199" s="42"/>
      <c r="E199" s="42"/>
      <c r="F199" s="43" t="s">
        <v>3015</v>
      </c>
      <c r="G199" s="42" t="s">
        <v>2865</v>
      </c>
      <c r="H199" s="42" t="s">
        <v>2290</v>
      </c>
      <c r="I199" s="42" t="s">
        <v>2291</v>
      </c>
      <c r="J199" s="42"/>
      <c r="K199" s="65"/>
      <c r="L199" s="66" t="s">
        <v>2292</v>
      </c>
      <c r="M199" s="67" t="s">
        <v>3016</v>
      </c>
      <c r="N199" s="65" t="s">
        <v>3017</v>
      </c>
      <c r="O199" s="42" t="s">
        <v>1933</v>
      </c>
      <c r="P199" s="42"/>
      <c r="Q199" s="42" t="s">
        <v>1933</v>
      </c>
      <c r="R199" s="42"/>
      <c r="S199" s="42" t="s">
        <v>1933</v>
      </c>
      <c r="T199" s="42"/>
      <c r="U199" s="42"/>
      <c r="V199" s="42"/>
      <c r="W199" s="42"/>
      <c r="X199" s="42"/>
      <c r="Y199" s="42"/>
      <c r="Z199" s="32" t="s">
        <v>2295</v>
      </c>
    </row>
    <row r="200" spans="1:26" ht="16.95" customHeight="1" x14ac:dyDescent="0.25">
      <c r="A200" s="36" t="s">
        <v>3018</v>
      </c>
      <c r="B200" s="36">
        <v>3</v>
      </c>
      <c r="C200" s="36" t="s">
        <v>2297</v>
      </c>
      <c r="D200" s="36"/>
      <c r="E200" s="36" t="s">
        <v>1933</v>
      </c>
      <c r="F200" s="37" t="s">
        <v>2251</v>
      </c>
      <c r="G200" s="36" t="s">
        <v>2304</v>
      </c>
      <c r="H200" s="36" t="s">
        <v>2290</v>
      </c>
      <c r="I200" s="36" t="s">
        <v>2291</v>
      </c>
      <c r="J200" s="36"/>
      <c r="K200" s="56"/>
      <c r="L200" s="57" t="s">
        <v>2534</v>
      </c>
      <c r="M200" s="58" t="s">
        <v>3019</v>
      </c>
      <c r="N200" s="56" t="s">
        <v>3020</v>
      </c>
      <c r="O200" s="36"/>
      <c r="P200" s="36" t="s">
        <v>1933</v>
      </c>
      <c r="Q200" s="36" t="s">
        <v>1933</v>
      </c>
      <c r="R200" s="36"/>
      <c r="S200" s="36" t="s">
        <v>1933</v>
      </c>
      <c r="T200" s="36" t="s">
        <v>1933</v>
      </c>
      <c r="U200" s="36"/>
      <c r="V200" s="36" t="s">
        <v>1933</v>
      </c>
      <c r="W200" s="36" t="s">
        <v>1933</v>
      </c>
      <c r="X200" s="36"/>
      <c r="Y200" s="36"/>
      <c r="Z200" s="32" t="s">
        <v>2295</v>
      </c>
    </row>
    <row r="201" spans="1:26" ht="16.95" customHeight="1" x14ac:dyDescent="0.25">
      <c r="A201" s="36" t="s">
        <v>3021</v>
      </c>
      <c r="B201" s="36">
        <v>3</v>
      </c>
      <c r="C201" s="36" t="s">
        <v>2297</v>
      </c>
      <c r="D201" s="36"/>
      <c r="E201" s="36"/>
      <c r="F201" s="37" t="s">
        <v>2251</v>
      </c>
      <c r="G201" s="36" t="s">
        <v>2304</v>
      </c>
      <c r="H201" s="36" t="s">
        <v>2290</v>
      </c>
      <c r="I201" s="36" t="s">
        <v>2291</v>
      </c>
      <c r="J201" s="36"/>
      <c r="K201" s="82"/>
      <c r="L201" s="57" t="s">
        <v>2292</v>
      </c>
      <c r="M201" s="58" t="s">
        <v>3022</v>
      </c>
      <c r="N201" s="56" t="s">
        <v>3023</v>
      </c>
      <c r="O201" s="36"/>
      <c r="P201" s="36" t="s">
        <v>1933</v>
      </c>
      <c r="Q201" s="36"/>
      <c r="R201" s="36" t="s">
        <v>1933</v>
      </c>
      <c r="S201" s="36"/>
      <c r="T201" s="36"/>
      <c r="U201" s="36" t="s">
        <v>1933</v>
      </c>
      <c r="V201" s="36" t="s">
        <v>1933</v>
      </c>
      <c r="W201" s="36"/>
      <c r="X201" s="36"/>
      <c r="Y201" s="36"/>
      <c r="Z201" s="32" t="s">
        <v>2295</v>
      </c>
    </row>
    <row r="202" spans="1:26" ht="16.95" customHeight="1" x14ac:dyDescent="0.25">
      <c r="A202" s="38" t="s">
        <v>3024</v>
      </c>
      <c r="B202" s="38">
        <v>3</v>
      </c>
      <c r="C202" s="38" t="s">
        <v>2303</v>
      </c>
      <c r="D202" s="38"/>
      <c r="E202" s="38"/>
      <c r="F202" s="39" t="s">
        <v>2251</v>
      </c>
      <c r="G202" s="38" t="s">
        <v>2304</v>
      </c>
      <c r="H202" s="38" t="s">
        <v>2290</v>
      </c>
      <c r="I202" s="38" t="s">
        <v>2291</v>
      </c>
      <c r="J202" s="38" t="s">
        <v>2310</v>
      </c>
      <c r="K202" s="59" t="s">
        <v>3025</v>
      </c>
      <c r="L202" s="60" t="s">
        <v>2292</v>
      </c>
      <c r="M202" s="61" t="s">
        <v>3026</v>
      </c>
      <c r="N202" s="59" t="s">
        <v>3027</v>
      </c>
      <c r="O202" s="38"/>
      <c r="P202" s="38" t="s">
        <v>1933</v>
      </c>
      <c r="Q202" s="38" t="s">
        <v>1933</v>
      </c>
      <c r="R202" s="38" t="s">
        <v>1933</v>
      </c>
      <c r="S202" s="38" t="s">
        <v>1933</v>
      </c>
      <c r="T202" s="38"/>
      <c r="U202" s="38"/>
      <c r="V202" s="38"/>
      <c r="W202" s="38" t="s">
        <v>1933</v>
      </c>
      <c r="X202" s="38"/>
      <c r="Y202" s="38"/>
      <c r="Z202" s="32" t="s">
        <v>2295</v>
      </c>
    </row>
    <row r="203" spans="1:26" ht="16.95" customHeight="1" x14ac:dyDescent="0.25">
      <c r="A203" s="46" t="s">
        <v>3028</v>
      </c>
      <c r="B203" s="46">
        <v>3</v>
      </c>
      <c r="C203" s="46" t="s">
        <v>2334</v>
      </c>
      <c r="D203" s="46"/>
      <c r="E203" s="46"/>
      <c r="F203" s="47" t="s">
        <v>2251</v>
      </c>
      <c r="G203" s="46" t="s">
        <v>3029</v>
      </c>
      <c r="H203" s="46" t="s">
        <v>2290</v>
      </c>
      <c r="I203" s="46" t="s">
        <v>2291</v>
      </c>
      <c r="J203" s="46" t="s">
        <v>2310</v>
      </c>
      <c r="K203" s="71" t="s">
        <v>2351</v>
      </c>
      <c r="L203" s="72" t="s">
        <v>2292</v>
      </c>
      <c r="M203" s="73" t="s">
        <v>3030</v>
      </c>
      <c r="N203" s="71" t="s">
        <v>3031</v>
      </c>
      <c r="O203" s="46" t="s">
        <v>1933</v>
      </c>
      <c r="P203" s="46" t="s">
        <v>1933</v>
      </c>
      <c r="Q203" s="46"/>
      <c r="R203" s="46"/>
      <c r="S203" s="46"/>
      <c r="T203" s="46"/>
      <c r="U203" s="46"/>
      <c r="V203" s="46" t="s">
        <v>1933</v>
      </c>
      <c r="W203" s="46"/>
      <c r="X203" s="46"/>
      <c r="Y203" s="46"/>
      <c r="Z203" s="32" t="s">
        <v>2295</v>
      </c>
    </row>
    <row r="204" spans="1:26" ht="16.95" customHeight="1" x14ac:dyDescent="0.25">
      <c r="A204" s="48" t="s">
        <v>3032</v>
      </c>
      <c r="B204" s="48">
        <v>3</v>
      </c>
      <c r="C204" s="48" t="s">
        <v>2342</v>
      </c>
      <c r="D204" s="48"/>
      <c r="E204" s="48" t="s">
        <v>1933</v>
      </c>
      <c r="F204" s="49" t="s">
        <v>2251</v>
      </c>
      <c r="G204" s="48" t="s">
        <v>2865</v>
      </c>
      <c r="H204" s="48" t="s">
        <v>2290</v>
      </c>
      <c r="I204" s="48" t="s">
        <v>2291</v>
      </c>
      <c r="J204" s="48" t="s">
        <v>2310</v>
      </c>
      <c r="K204" s="74" t="s">
        <v>3033</v>
      </c>
      <c r="L204" s="75" t="s">
        <v>2299</v>
      </c>
      <c r="M204" s="76" t="s">
        <v>3034</v>
      </c>
      <c r="N204" s="74" t="s">
        <v>3035</v>
      </c>
      <c r="O204" s="48"/>
      <c r="P204" s="48"/>
      <c r="Q204" s="48" t="s">
        <v>1933</v>
      </c>
      <c r="R204" s="48"/>
      <c r="S204" s="48"/>
      <c r="T204" s="48" t="s">
        <v>1933</v>
      </c>
      <c r="U204" s="48"/>
      <c r="V204" s="48" t="s">
        <v>1933</v>
      </c>
      <c r="W204" s="48"/>
      <c r="X204" s="48"/>
      <c r="Y204" s="48"/>
      <c r="Z204" s="32" t="s">
        <v>2295</v>
      </c>
    </row>
    <row r="205" spans="1:26" ht="16.95" customHeight="1" x14ac:dyDescent="0.25">
      <c r="A205" s="42" t="s">
        <v>3036</v>
      </c>
      <c r="B205" s="42">
        <v>3</v>
      </c>
      <c r="C205" s="42" t="s">
        <v>2315</v>
      </c>
      <c r="D205" s="42"/>
      <c r="E205" s="42" t="s">
        <v>1933</v>
      </c>
      <c r="F205" s="43" t="s">
        <v>2251</v>
      </c>
      <c r="G205" s="42" t="s">
        <v>2309</v>
      </c>
      <c r="H205" s="42" t="s">
        <v>2290</v>
      </c>
      <c r="I205" s="42" t="s">
        <v>2291</v>
      </c>
      <c r="J205" s="42" t="s">
        <v>2310</v>
      </c>
      <c r="K205" s="65" t="s">
        <v>3037</v>
      </c>
      <c r="L205" s="66" t="s">
        <v>2299</v>
      </c>
      <c r="M205" s="67" t="s">
        <v>3038</v>
      </c>
      <c r="N205" s="65" t="s">
        <v>3039</v>
      </c>
      <c r="O205" s="42" t="s">
        <v>1933</v>
      </c>
      <c r="P205" s="42"/>
      <c r="Q205" s="42"/>
      <c r="R205" s="42"/>
      <c r="S205" s="42"/>
      <c r="T205" s="42" t="s">
        <v>1933</v>
      </c>
      <c r="U205" s="42"/>
      <c r="V205" s="42" t="s">
        <v>1933</v>
      </c>
      <c r="W205" s="42"/>
      <c r="X205" s="42"/>
      <c r="Y205" s="42"/>
      <c r="Z205" s="32" t="s">
        <v>2295</v>
      </c>
    </row>
    <row r="206" spans="1:26" ht="16.95" customHeight="1" x14ac:dyDescent="0.25">
      <c r="A206" s="38" t="s">
        <v>3040</v>
      </c>
      <c r="B206" s="38">
        <v>3</v>
      </c>
      <c r="C206" s="38" t="s">
        <v>2303</v>
      </c>
      <c r="D206" s="38"/>
      <c r="E206" s="38"/>
      <c r="F206" s="39" t="s">
        <v>2251</v>
      </c>
      <c r="G206" s="38" t="s">
        <v>2329</v>
      </c>
      <c r="H206" s="38" t="s">
        <v>2290</v>
      </c>
      <c r="I206" s="38" t="s">
        <v>2291</v>
      </c>
      <c r="J206" s="38" t="s">
        <v>2310</v>
      </c>
      <c r="K206" s="59" t="s">
        <v>3041</v>
      </c>
      <c r="L206" s="60" t="s">
        <v>3042</v>
      </c>
      <c r="M206" s="61" t="s">
        <v>3043</v>
      </c>
      <c r="N206" s="59" t="s">
        <v>3044</v>
      </c>
      <c r="O206" s="38" t="s">
        <v>1933</v>
      </c>
      <c r="P206" s="38" t="s">
        <v>1933</v>
      </c>
      <c r="Q206" s="38"/>
      <c r="R206" s="38"/>
      <c r="S206" s="38"/>
      <c r="T206" s="38"/>
      <c r="U206" s="38"/>
      <c r="V206" s="38" t="s">
        <v>1933</v>
      </c>
      <c r="W206" s="38"/>
      <c r="X206" s="38"/>
      <c r="Y206" s="38"/>
      <c r="Z206" s="32" t="s">
        <v>2295</v>
      </c>
    </row>
    <row r="207" spans="1:26" ht="16.95" customHeight="1" x14ac:dyDescent="0.25">
      <c r="A207" s="42" t="s">
        <v>3045</v>
      </c>
      <c r="B207" s="42">
        <v>3</v>
      </c>
      <c r="C207" s="42" t="s">
        <v>2315</v>
      </c>
      <c r="D207" s="42"/>
      <c r="E207" s="42"/>
      <c r="F207" s="43" t="s">
        <v>2251</v>
      </c>
      <c r="G207" s="42" t="s">
        <v>3046</v>
      </c>
      <c r="H207" s="42" t="s">
        <v>2290</v>
      </c>
      <c r="I207" s="42" t="s">
        <v>2291</v>
      </c>
      <c r="J207" s="42"/>
      <c r="K207" s="65"/>
      <c r="L207" s="66" t="s">
        <v>3042</v>
      </c>
      <c r="M207" s="67" t="s">
        <v>3047</v>
      </c>
      <c r="N207" s="65" t="s">
        <v>3048</v>
      </c>
      <c r="O207" s="42" t="s">
        <v>1933</v>
      </c>
      <c r="P207" s="42"/>
      <c r="Q207" s="42" t="s">
        <v>1933</v>
      </c>
      <c r="R207" s="42"/>
      <c r="S207" s="42" t="s">
        <v>1933</v>
      </c>
      <c r="T207" s="42"/>
      <c r="U207" s="42"/>
      <c r="V207" s="42"/>
      <c r="W207" s="42"/>
      <c r="X207" s="42"/>
      <c r="Y207" s="42"/>
      <c r="Z207" s="32" t="s">
        <v>2295</v>
      </c>
    </row>
    <row r="208" spans="1:26" ht="16.95" customHeight="1" x14ac:dyDescent="0.25">
      <c r="A208" s="48" t="s">
        <v>3049</v>
      </c>
      <c r="B208" s="48">
        <v>3</v>
      </c>
      <c r="C208" s="48" t="s">
        <v>2342</v>
      </c>
      <c r="D208" s="48"/>
      <c r="E208" s="48" t="s">
        <v>1933</v>
      </c>
      <c r="F208" s="49" t="s">
        <v>2251</v>
      </c>
      <c r="G208" s="48" t="s">
        <v>2298</v>
      </c>
      <c r="H208" s="48" t="s">
        <v>2290</v>
      </c>
      <c r="I208" s="48" t="s">
        <v>2291</v>
      </c>
      <c r="J208" s="48" t="s">
        <v>2310</v>
      </c>
      <c r="K208" s="74" t="s">
        <v>3050</v>
      </c>
      <c r="L208" s="75" t="s">
        <v>2484</v>
      </c>
      <c r="M208" s="76" t="s">
        <v>3051</v>
      </c>
      <c r="N208" s="74" t="s">
        <v>3052</v>
      </c>
      <c r="O208" s="48"/>
      <c r="P208" s="48" t="s">
        <v>1933</v>
      </c>
      <c r="Q208" s="48"/>
      <c r="R208" s="48"/>
      <c r="S208" s="48"/>
      <c r="T208" s="48"/>
      <c r="U208" s="48"/>
      <c r="V208" s="48"/>
      <c r="W208" s="48"/>
      <c r="X208" s="48"/>
      <c r="Y208" s="48"/>
      <c r="Z208" s="32" t="s">
        <v>2295</v>
      </c>
    </row>
    <row r="209" spans="1:26" ht="16.95" customHeight="1" x14ac:dyDescent="0.25">
      <c r="A209" s="48" t="s">
        <v>3053</v>
      </c>
      <c r="B209" s="48">
        <v>3</v>
      </c>
      <c r="C209" s="48" t="s">
        <v>2342</v>
      </c>
      <c r="D209" s="48"/>
      <c r="E209" s="48" t="s">
        <v>1933</v>
      </c>
      <c r="F209" s="49" t="s">
        <v>2251</v>
      </c>
      <c r="G209" s="48" t="s">
        <v>2457</v>
      </c>
      <c r="H209" s="48" t="s">
        <v>2290</v>
      </c>
      <c r="I209" s="48" t="s">
        <v>2291</v>
      </c>
      <c r="J209" s="48" t="s">
        <v>2310</v>
      </c>
      <c r="K209" s="74" t="s">
        <v>3054</v>
      </c>
      <c r="L209" s="75" t="s">
        <v>2299</v>
      </c>
      <c r="M209" s="76" t="s">
        <v>3055</v>
      </c>
      <c r="N209" s="74" t="s">
        <v>3056</v>
      </c>
      <c r="O209" s="48" t="s">
        <v>1933</v>
      </c>
      <c r="P209" s="48"/>
      <c r="Q209" s="48"/>
      <c r="R209" s="48"/>
      <c r="S209" s="48"/>
      <c r="T209" s="48" t="s">
        <v>1933</v>
      </c>
      <c r="U209" s="48"/>
      <c r="V209" s="48" t="s">
        <v>1933</v>
      </c>
      <c r="W209" s="48"/>
      <c r="X209" s="48"/>
      <c r="Y209" s="48"/>
      <c r="Z209" s="32" t="s">
        <v>2295</v>
      </c>
    </row>
    <row r="210" spans="1:26" ht="16.95" customHeight="1" x14ac:dyDescent="0.25">
      <c r="A210" s="48" t="s">
        <v>3057</v>
      </c>
      <c r="B210" s="48">
        <v>3</v>
      </c>
      <c r="C210" s="48" t="s">
        <v>2342</v>
      </c>
      <c r="D210" s="48"/>
      <c r="E210" s="48" t="s">
        <v>1933</v>
      </c>
      <c r="F210" s="49" t="s">
        <v>2251</v>
      </c>
      <c r="G210" s="48" t="s">
        <v>2457</v>
      </c>
      <c r="H210" s="48" t="s">
        <v>2290</v>
      </c>
      <c r="I210" s="48" t="s">
        <v>2291</v>
      </c>
      <c r="J210" s="48" t="s">
        <v>2310</v>
      </c>
      <c r="K210" s="74" t="s">
        <v>3058</v>
      </c>
      <c r="L210" s="75" t="s">
        <v>2534</v>
      </c>
      <c r="M210" s="76" t="s">
        <v>3059</v>
      </c>
      <c r="N210" s="74" t="s">
        <v>3060</v>
      </c>
      <c r="O210" s="48"/>
      <c r="P210" s="48"/>
      <c r="Q210" s="48" t="s">
        <v>1933</v>
      </c>
      <c r="R210" s="48"/>
      <c r="S210" s="48" t="s">
        <v>1933</v>
      </c>
      <c r="T210" s="48"/>
      <c r="U210" s="48" t="s">
        <v>1933</v>
      </c>
      <c r="V210" s="48" t="s">
        <v>1933</v>
      </c>
      <c r="W210" s="48"/>
      <c r="X210" s="48"/>
      <c r="Y210" s="48"/>
      <c r="Z210" s="32" t="s">
        <v>2295</v>
      </c>
    </row>
    <row r="211" spans="1:26" ht="16.95" customHeight="1" x14ac:dyDescent="0.25">
      <c r="A211" s="38" t="s">
        <v>3061</v>
      </c>
      <c r="B211" s="38">
        <v>3</v>
      </c>
      <c r="C211" s="38" t="s">
        <v>2303</v>
      </c>
      <c r="D211" s="38"/>
      <c r="E211" s="38" t="s">
        <v>1933</v>
      </c>
      <c r="F211" s="39" t="s">
        <v>2251</v>
      </c>
      <c r="G211" s="38" t="s">
        <v>2457</v>
      </c>
      <c r="H211" s="38" t="s">
        <v>2290</v>
      </c>
      <c r="I211" s="38" t="s">
        <v>2291</v>
      </c>
      <c r="J211" s="38" t="s">
        <v>2310</v>
      </c>
      <c r="K211" s="59" t="s">
        <v>3062</v>
      </c>
      <c r="L211" s="60" t="s">
        <v>2534</v>
      </c>
      <c r="M211" s="61" t="s">
        <v>3063</v>
      </c>
      <c r="N211" s="59" t="s">
        <v>3064</v>
      </c>
      <c r="O211" s="38"/>
      <c r="P211" s="38"/>
      <c r="Q211" s="38"/>
      <c r="R211" s="38"/>
      <c r="S211" s="38"/>
      <c r="T211" s="38"/>
      <c r="U211" s="38" t="s">
        <v>1933</v>
      </c>
      <c r="V211" s="38" t="s">
        <v>1933</v>
      </c>
      <c r="W211" s="38"/>
      <c r="X211" s="38"/>
      <c r="Y211" s="38"/>
      <c r="Z211" s="32" t="s">
        <v>2295</v>
      </c>
    </row>
    <row r="212" spans="1:26" ht="16.95" customHeight="1" x14ac:dyDescent="0.25">
      <c r="A212" s="46" t="s">
        <v>3065</v>
      </c>
      <c r="B212" s="46">
        <v>3</v>
      </c>
      <c r="C212" s="46" t="s">
        <v>2334</v>
      </c>
      <c r="D212" s="46"/>
      <c r="E212" s="46"/>
      <c r="F212" s="47" t="s">
        <v>2251</v>
      </c>
      <c r="G212" s="46" t="s">
        <v>2304</v>
      </c>
      <c r="H212" s="46" t="s">
        <v>2290</v>
      </c>
      <c r="I212" s="46"/>
      <c r="J212" s="46" t="s">
        <v>2310</v>
      </c>
      <c r="K212" s="71" t="s">
        <v>3066</v>
      </c>
      <c r="L212" s="72" t="s">
        <v>2338</v>
      </c>
      <c r="M212" s="73" t="s">
        <v>3067</v>
      </c>
      <c r="N212" s="71" t="s">
        <v>3068</v>
      </c>
      <c r="O212" s="46" t="s">
        <v>1933</v>
      </c>
      <c r="P212" s="46" t="s">
        <v>1933</v>
      </c>
      <c r="Q212" s="46"/>
      <c r="R212" s="46"/>
      <c r="S212" s="46"/>
      <c r="T212" s="46" t="s">
        <v>1933</v>
      </c>
      <c r="U212" s="46" t="s">
        <v>1933</v>
      </c>
      <c r="V212" s="46" t="s">
        <v>1933</v>
      </c>
      <c r="W212" s="46"/>
      <c r="X212" s="46"/>
      <c r="Y212" s="46"/>
      <c r="Z212" s="32" t="s">
        <v>2295</v>
      </c>
    </row>
    <row r="213" spans="1:26" ht="16.95" customHeight="1" x14ac:dyDescent="0.25">
      <c r="A213" s="38" t="s">
        <v>3069</v>
      </c>
      <c r="B213" s="38">
        <v>3</v>
      </c>
      <c r="C213" s="38" t="s">
        <v>2303</v>
      </c>
      <c r="D213" s="38"/>
      <c r="E213" s="38" t="s">
        <v>1933</v>
      </c>
      <c r="F213" s="39" t="s">
        <v>2251</v>
      </c>
      <c r="G213" s="38" t="s">
        <v>2298</v>
      </c>
      <c r="H213" s="38" t="s">
        <v>2290</v>
      </c>
      <c r="I213" s="38" t="s">
        <v>2291</v>
      </c>
      <c r="J213" s="38"/>
      <c r="K213" s="59"/>
      <c r="L213" s="60" t="s">
        <v>2299</v>
      </c>
      <c r="M213" s="61" t="s">
        <v>3070</v>
      </c>
      <c r="N213" s="59" t="s">
        <v>3071</v>
      </c>
      <c r="O213" s="38"/>
      <c r="P213" s="38"/>
      <c r="Q213" s="38"/>
      <c r="R213" s="38"/>
      <c r="S213" s="38"/>
      <c r="T213" s="38" t="s">
        <v>1933</v>
      </c>
      <c r="U213" s="38" t="s">
        <v>1933</v>
      </c>
      <c r="V213" s="38" t="s">
        <v>1933</v>
      </c>
      <c r="W213" s="38"/>
      <c r="X213" s="38"/>
      <c r="Y213" s="38"/>
      <c r="Z213" s="32" t="s">
        <v>2295</v>
      </c>
    </row>
    <row r="214" spans="1:26" ht="16.95" customHeight="1" x14ac:dyDescent="0.25">
      <c r="A214" s="42" t="s">
        <v>3072</v>
      </c>
      <c r="B214" s="42">
        <v>3</v>
      </c>
      <c r="C214" s="42" t="s">
        <v>2315</v>
      </c>
      <c r="D214" s="42" t="s">
        <v>1933</v>
      </c>
      <c r="E214" s="42"/>
      <c r="F214" s="43" t="s">
        <v>2472</v>
      </c>
      <c r="G214" s="42" t="s">
        <v>2018</v>
      </c>
      <c r="H214" s="42" t="s">
        <v>2290</v>
      </c>
      <c r="I214" s="42" t="s">
        <v>2291</v>
      </c>
      <c r="J214" s="42" t="s">
        <v>2310</v>
      </c>
      <c r="K214" s="65" t="s">
        <v>3073</v>
      </c>
      <c r="L214" s="66" t="s">
        <v>2432</v>
      </c>
      <c r="M214" s="67" t="s">
        <v>3074</v>
      </c>
      <c r="N214" s="65" t="s">
        <v>3075</v>
      </c>
      <c r="O214" s="42"/>
      <c r="P214" s="42"/>
      <c r="Q214" s="42" t="s">
        <v>1933</v>
      </c>
      <c r="R214" s="42"/>
      <c r="S214" s="42" t="s">
        <v>1933</v>
      </c>
      <c r="T214" s="42" t="s">
        <v>1933</v>
      </c>
      <c r="U214" s="42"/>
      <c r="V214" s="42" t="s">
        <v>1933</v>
      </c>
      <c r="W214" s="42" t="s">
        <v>1933</v>
      </c>
      <c r="X214" s="42"/>
      <c r="Y214" s="42"/>
      <c r="Z214" s="32" t="s">
        <v>2295</v>
      </c>
    </row>
    <row r="215" spans="1:26" ht="16.95" customHeight="1" x14ac:dyDescent="0.25">
      <c r="A215" s="42" t="s">
        <v>3076</v>
      </c>
      <c r="B215" s="42">
        <v>3</v>
      </c>
      <c r="C215" s="42" t="s">
        <v>2315</v>
      </c>
      <c r="D215" s="42" t="s">
        <v>1933</v>
      </c>
      <c r="E215" s="42"/>
      <c r="F215" s="43" t="s">
        <v>2472</v>
      </c>
      <c r="G215" s="42" t="s">
        <v>2018</v>
      </c>
      <c r="H215" s="42" t="s">
        <v>2290</v>
      </c>
      <c r="I215" s="42" t="s">
        <v>2291</v>
      </c>
      <c r="J215" s="42" t="s">
        <v>2310</v>
      </c>
      <c r="K215" s="65" t="s">
        <v>3077</v>
      </c>
      <c r="L215" s="66" t="s">
        <v>2338</v>
      </c>
      <c r="M215" s="67" t="s">
        <v>3078</v>
      </c>
      <c r="N215" s="65" t="s">
        <v>3079</v>
      </c>
      <c r="O215" s="42"/>
      <c r="P215" s="42" t="s">
        <v>1933</v>
      </c>
      <c r="Q215" s="42" t="s">
        <v>1933</v>
      </c>
      <c r="R215" s="42"/>
      <c r="S215" s="42" t="s">
        <v>1933</v>
      </c>
      <c r="T215" s="42" t="s">
        <v>1933</v>
      </c>
      <c r="U215" s="42"/>
      <c r="V215" s="42"/>
      <c r="W215" s="42" t="s">
        <v>1933</v>
      </c>
      <c r="X215" s="42"/>
      <c r="Y215" s="42"/>
      <c r="Z215" s="32" t="s">
        <v>2295</v>
      </c>
    </row>
    <row r="216" spans="1:26" ht="16.95" customHeight="1" x14ac:dyDescent="0.25">
      <c r="A216" s="34" t="s">
        <v>3080</v>
      </c>
      <c r="B216" s="34">
        <v>3</v>
      </c>
      <c r="C216" s="34" t="s">
        <v>2288</v>
      </c>
      <c r="D216" s="34"/>
      <c r="E216" s="34" t="s">
        <v>1933</v>
      </c>
      <c r="F216" s="35" t="s">
        <v>2251</v>
      </c>
      <c r="G216" s="34" t="s">
        <v>2309</v>
      </c>
      <c r="H216" s="34" t="s">
        <v>2290</v>
      </c>
      <c r="I216" s="34" t="s">
        <v>2291</v>
      </c>
      <c r="J216" s="34" t="s">
        <v>2310</v>
      </c>
      <c r="K216" s="53" t="s">
        <v>3081</v>
      </c>
      <c r="L216" s="54" t="s">
        <v>2299</v>
      </c>
      <c r="M216" s="55" t="s">
        <v>3082</v>
      </c>
      <c r="N216" s="53" t="s">
        <v>3083</v>
      </c>
      <c r="O216" s="34"/>
      <c r="P216" s="34"/>
      <c r="Q216" s="34" t="s">
        <v>1933</v>
      </c>
      <c r="R216" s="34"/>
      <c r="S216" s="34" t="s">
        <v>1933</v>
      </c>
      <c r="T216" s="34"/>
      <c r="U216" s="34"/>
      <c r="V216" s="34"/>
      <c r="W216" s="34"/>
      <c r="X216" s="34"/>
      <c r="Y216" s="34"/>
      <c r="Z216" s="32" t="s">
        <v>2295</v>
      </c>
    </row>
    <row r="217" spans="1:26" ht="16.95" customHeight="1" x14ac:dyDescent="0.25">
      <c r="A217" s="46" t="s">
        <v>3084</v>
      </c>
      <c r="B217" s="46">
        <v>4</v>
      </c>
      <c r="C217" s="46" t="s">
        <v>2334</v>
      </c>
      <c r="D217" s="46"/>
      <c r="E217" s="46" t="s">
        <v>1933</v>
      </c>
      <c r="F217" s="47" t="s">
        <v>2251</v>
      </c>
      <c r="G217" s="46" t="s">
        <v>2018</v>
      </c>
      <c r="H217" s="46" t="s">
        <v>2290</v>
      </c>
      <c r="I217" s="46" t="s">
        <v>2291</v>
      </c>
      <c r="J217" s="46" t="s">
        <v>2310</v>
      </c>
      <c r="K217" s="71" t="s">
        <v>3085</v>
      </c>
      <c r="L217" s="72" t="s">
        <v>2534</v>
      </c>
      <c r="M217" s="73" t="s">
        <v>3086</v>
      </c>
      <c r="N217" s="71" t="s">
        <v>3087</v>
      </c>
      <c r="O217" s="46"/>
      <c r="P217" s="46"/>
      <c r="Q217" s="46"/>
      <c r="R217" s="46"/>
      <c r="S217" s="46"/>
      <c r="T217" s="46"/>
      <c r="U217" s="46"/>
      <c r="V217" s="46" t="s">
        <v>1933</v>
      </c>
      <c r="W217" s="46" t="s">
        <v>1933</v>
      </c>
      <c r="X217" s="46"/>
      <c r="Y217" s="46"/>
      <c r="Z217" s="32" t="s">
        <v>2295</v>
      </c>
    </row>
    <row r="218" spans="1:26" ht="16.95" customHeight="1" x14ac:dyDescent="0.25">
      <c r="A218" s="36" t="s">
        <v>3088</v>
      </c>
      <c r="B218" s="36">
        <v>4</v>
      </c>
      <c r="C218" s="36" t="s">
        <v>2297</v>
      </c>
      <c r="D218" s="36"/>
      <c r="E218" s="36" t="s">
        <v>1933</v>
      </c>
      <c r="F218" s="37" t="s">
        <v>2251</v>
      </c>
      <c r="G218" s="36" t="s">
        <v>2298</v>
      </c>
      <c r="H218" s="36" t="s">
        <v>2290</v>
      </c>
      <c r="I218" s="36"/>
      <c r="J218" s="36"/>
      <c r="K218" s="56"/>
      <c r="L218" s="57" t="s">
        <v>2484</v>
      </c>
      <c r="M218" s="58" t="s">
        <v>3089</v>
      </c>
      <c r="N218" s="56" t="s">
        <v>3090</v>
      </c>
      <c r="O218" s="36"/>
      <c r="P218" s="36" t="s">
        <v>1933</v>
      </c>
      <c r="Q218" s="36"/>
      <c r="R218" s="36" t="s">
        <v>1933</v>
      </c>
      <c r="S218" s="36"/>
      <c r="T218" s="36"/>
      <c r="U218" s="36"/>
      <c r="V218" s="36"/>
      <c r="W218" s="36"/>
      <c r="X218" s="36"/>
      <c r="Y218" s="36"/>
      <c r="Z218" s="32" t="s">
        <v>2295</v>
      </c>
    </row>
    <row r="219" spans="1:26" ht="16.95" customHeight="1" x14ac:dyDescent="0.25">
      <c r="A219" s="36" t="s">
        <v>3091</v>
      </c>
      <c r="B219" s="36">
        <v>4</v>
      </c>
      <c r="C219" s="36" t="s">
        <v>2297</v>
      </c>
      <c r="D219" s="36"/>
      <c r="E219" s="36" t="s">
        <v>1933</v>
      </c>
      <c r="F219" s="37" t="s">
        <v>2251</v>
      </c>
      <c r="G219" s="36" t="s">
        <v>2298</v>
      </c>
      <c r="H219" s="36" t="s">
        <v>2290</v>
      </c>
      <c r="I219" s="36"/>
      <c r="J219" s="36"/>
      <c r="K219" s="56"/>
      <c r="L219" s="57" t="s">
        <v>2484</v>
      </c>
      <c r="M219" s="58" t="s">
        <v>3092</v>
      </c>
      <c r="N219" s="56" t="s">
        <v>3093</v>
      </c>
      <c r="O219" s="36"/>
      <c r="P219" s="36" t="s">
        <v>1933</v>
      </c>
      <c r="Q219" s="36"/>
      <c r="R219" s="36" t="s">
        <v>1933</v>
      </c>
      <c r="S219" s="36"/>
      <c r="T219" s="36"/>
      <c r="U219" s="36"/>
      <c r="V219" s="36"/>
      <c r="W219" s="36"/>
      <c r="X219" s="36"/>
      <c r="Y219" s="36"/>
      <c r="Z219" s="32" t="s">
        <v>2295</v>
      </c>
    </row>
    <row r="220" spans="1:26" ht="16.95" customHeight="1" x14ac:dyDescent="0.25">
      <c r="A220" s="36" t="s">
        <v>3094</v>
      </c>
      <c r="B220" s="36">
        <v>4</v>
      </c>
      <c r="C220" s="36" t="s">
        <v>2297</v>
      </c>
      <c r="D220" s="36"/>
      <c r="E220" s="36" t="s">
        <v>1933</v>
      </c>
      <c r="F220" s="37" t="s">
        <v>2251</v>
      </c>
      <c r="G220" s="36" t="s">
        <v>2018</v>
      </c>
      <c r="H220" s="36" t="s">
        <v>2290</v>
      </c>
      <c r="I220" s="36" t="s">
        <v>2291</v>
      </c>
      <c r="J220" s="36" t="s">
        <v>2310</v>
      </c>
      <c r="K220" s="56" t="s">
        <v>3095</v>
      </c>
      <c r="L220" s="57" t="s">
        <v>2299</v>
      </c>
      <c r="M220" s="58" t="s">
        <v>3096</v>
      </c>
      <c r="N220" s="56" t="s">
        <v>3097</v>
      </c>
      <c r="O220" s="36"/>
      <c r="P220" s="36" t="s">
        <v>1933</v>
      </c>
      <c r="Q220" s="36"/>
      <c r="R220" s="36" t="s">
        <v>1933</v>
      </c>
      <c r="S220" s="36"/>
      <c r="T220" s="36" t="s">
        <v>1933</v>
      </c>
      <c r="U220" s="36" t="s">
        <v>1933</v>
      </c>
      <c r="V220" s="36" t="s">
        <v>1933</v>
      </c>
      <c r="W220" s="36"/>
      <c r="X220" s="36"/>
      <c r="Y220" s="36"/>
      <c r="Z220" s="32" t="s">
        <v>2295</v>
      </c>
    </row>
    <row r="221" spans="1:26" ht="16.95" customHeight="1" x14ac:dyDescent="0.25">
      <c r="A221" s="38" t="s">
        <v>3098</v>
      </c>
      <c r="B221" s="38">
        <v>4</v>
      </c>
      <c r="C221" s="38" t="s">
        <v>2303</v>
      </c>
      <c r="D221" s="38"/>
      <c r="E221" s="38"/>
      <c r="F221" s="39" t="s">
        <v>2251</v>
      </c>
      <c r="G221" s="38" t="s">
        <v>2018</v>
      </c>
      <c r="H221" s="38" t="s">
        <v>2290</v>
      </c>
      <c r="I221" s="38" t="s">
        <v>2291</v>
      </c>
      <c r="J221" s="38"/>
      <c r="K221" s="59"/>
      <c r="L221" s="60" t="s">
        <v>2292</v>
      </c>
      <c r="M221" s="61" t="s">
        <v>3099</v>
      </c>
      <c r="N221" s="59" t="s">
        <v>3100</v>
      </c>
      <c r="O221" s="38"/>
      <c r="P221" s="38"/>
      <c r="Q221" s="38" t="s">
        <v>1933</v>
      </c>
      <c r="R221" s="38"/>
      <c r="S221" s="38"/>
      <c r="T221" s="38" t="s">
        <v>1933</v>
      </c>
      <c r="U221" s="38" t="s">
        <v>1933</v>
      </c>
      <c r="V221" s="38" t="s">
        <v>1933</v>
      </c>
      <c r="W221" s="38"/>
      <c r="X221" s="38"/>
      <c r="Y221" s="38"/>
      <c r="Z221" s="32" t="s">
        <v>2295</v>
      </c>
    </row>
    <row r="222" spans="1:26" ht="16.95" customHeight="1" x14ac:dyDescent="0.25">
      <c r="A222" s="44" t="s">
        <v>3101</v>
      </c>
      <c r="B222" s="44">
        <v>4</v>
      </c>
      <c r="C222" s="44" t="s">
        <v>2328</v>
      </c>
      <c r="D222" s="44"/>
      <c r="E222" s="44"/>
      <c r="F222" s="45" t="s">
        <v>2251</v>
      </c>
      <c r="G222" s="44" t="s">
        <v>2018</v>
      </c>
      <c r="H222" s="44" t="s">
        <v>2290</v>
      </c>
      <c r="I222" s="44" t="s">
        <v>2291</v>
      </c>
      <c r="J222" s="44"/>
      <c r="K222" s="68"/>
      <c r="L222" s="69" t="s">
        <v>2338</v>
      </c>
      <c r="M222" s="70" t="s">
        <v>3102</v>
      </c>
      <c r="N222" s="68" t="s">
        <v>3103</v>
      </c>
      <c r="O222" s="44" t="s">
        <v>1933</v>
      </c>
      <c r="P222" s="44"/>
      <c r="Q222" s="44" t="s">
        <v>1933</v>
      </c>
      <c r="R222" s="44"/>
      <c r="S222" s="44"/>
      <c r="T222" s="44" t="s">
        <v>1933</v>
      </c>
      <c r="U222" s="44" t="s">
        <v>1933</v>
      </c>
      <c r="V222" s="44" t="s">
        <v>1933</v>
      </c>
      <c r="W222" s="44"/>
      <c r="X222" s="44"/>
      <c r="Y222" s="44"/>
      <c r="Z222" s="32" t="s">
        <v>2295</v>
      </c>
    </row>
    <row r="223" spans="1:26" ht="16.95" customHeight="1" x14ac:dyDescent="0.25">
      <c r="A223" s="44" t="s">
        <v>3104</v>
      </c>
      <c r="B223" s="44">
        <v>4</v>
      </c>
      <c r="C223" s="44" t="s">
        <v>2328</v>
      </c>
      <c r="D223" s="44"/>
      <c r="E223" s="44" t="s">
        <v>1933</v>
      </c>
      <c r="F223" s="45" t="s">
        <v>2251</v>
      </c>
      <c r="G223" s="44" t="s">
        <v>2018</v>
      </c>
      <c r="H223" s="44" t="s">
        <v>2290</v>
      </c>
      <c r="I223" s="44" t="s">
        <v>2291</v>
      </c>
      <c r="J223" s="44"/>
      <c r="K223" s="68"/>
      <c r="L223" s="69" t="s">
        <v>2299</v>
      </c>
      <c r="M223" s="70" t="s">
        <v>3105</v>
      </c>
      <c r="N223" s="68" t="s">
        <v>3106</v>
      </c>
      <c r="O223" s="44" t="s">
        <v>1933</v>
      </c>
      <c r="P223" s="44"/>
      <c r="Q223" s="44"/>
      <c r="R223" s="44"/>
      <c r="S223" s="44"/>
      <c r="T223" s="44"/>
      <c r="U223" s="44"/>
      <c r="V223" s="44"/>
      <c r="W223" s="44"/>
      <c r="X223" s="44"/>
      <c r="Y223" s="44"/>
      <c r="Z223" s="32" t="s">
        <v>2295</v>
      </c>
    </row>
    <row r="224" spans="1:26" ht="16.95" customHeight="1" x14ac:dyDescent="0.25">
      <c r="A224" s="44" t="s">
        <v>3107</v>
      </c>
      <c r="B224" s="44">
        <v>4</v>
      </c>
      <c r="C224" s="44" t="s">
        <v>2328</v>
      </c>
      <c r="D224" s="44"/>
      <c r="E224" s="44" t="s">
        <v>1933</v>
      </c>
      <c r="F224" s="45" t="s">
        <v>2251</v>
      </c>
      <c r="G224" s="44" t="s">
        <v>2457</v>
      </c>
      <c r="H224" s="44" t="s">
        <v>2290</v>
      </c>
      <c r="I224" s="44" t="s">
        <v>2291</v>
      </c>
      <c r="J224" s="44" t="s">
        <v>2310</v>
      </c>
      <c r="K224" s="68" t="s">
        <v>3108</v>
      </c>
      <c r="L224" s="69" t="s">
        <v>2299</v>
      </c>
      <c r="M224" s="70" t="s">
        <v>3109</v>
      </c>
      <c r="N224" s="68" t="s">
        <v>3110</v>
      </c>
      <c r="O224" s="44" t="s">
        <v>1933</v>
      </c>
      <c r="P224" s="44"/>
      <c r="Q224" s="44" t="s">
        <v>1933</v>
      </c>
      <c r="R224" s="44"/>
      <c r="S224" s="44"/>
      <c r="T224" s="44" t="s">
        <v>1933</v>
      </c>
      <c r="U224" s="44"/>
      <c r="V224" s="44" t="s">
        <v>1933</v>
      </c>
      <c r="W224" s="44"/>
      <c r="X224" s="44"/>
      <c r="Y224" s="44"/>
      <c r="Z224" s="32" t="s">
        <v>2295</v>
      </c>
    </row>
    <row r="225" spans="1:26" ht="16.95" customHeight="1" x14ac:dyDescent="0.25">
      <c r="A225" s="48" t="s">
        <v>3111</v>
      </c>
      <c r="B225" s="48">
        <v>4</v>
      </c>
      <c r="C225" s="48" t="s">
        <v>2342</v>
      </c>
      <c r="D225" s="48"/>
      <c r="E225" s="48" t="s">
        <v>1933</v>
      </c>
      <c r="F225" s="49" t="s">
        <v>2251</v>
      </c>
      <c r="G225" s="48" t="s">
        <v>2298</v>
      </c>
      <c r="H225" s="48" t="s">
        <v>2290</v>
      </c>
      <c r="I225" s="48" t="s">
        <v>2291</v>
      </c>
      <c r="J225" s="48"/>
      <c r="K225" s="74"/>
      <c r="L225" s="75" t="s">
        <v>2484</v>
      </c>
      <c r="M225" s="76" t="s">
        <v>3112</v>
      </c>
      <c r="N225" s="74" t="s">
        <v>3113</v>
      </c>
      <c r="O225" s="48"/>
      <c r="P225" s="48"/>
      <c r="Q225" s="48" t="s">
        <v>1933</v>
      </c>
      <c r="R225" s="48"/>
      <c r="S225" s="48"/>
      <c r="T225" s="48"/>
      <c r="U225" s="48"/>
      <c r="V225" s="48" t="s">
        <v>1933</v>
      </c>
      <c r="W225" s="48"/>
      <c r="X225" s="48"/>
      <c r="Y225" s="48"/>
      <c r="Z225" s="32" t="s">
        <v>2295</v>
      </c>
    </row>
    <row r="226" spans="1:26" ht="16.95" customHeight="1" x14ac:dyDescent="0.25">
      <c r="A226" s="48" t="s">
        <v>3114</v>
      </c>
      <c r="B226" s="48">
        <v>4</v>
      </c>
      <c r="C226" s="48" t="s">
        <v>2342</v>
      </c>
      <c r="D226" s="48"/>
      <c r="E226" s="48" t="s">
        <v>1933</v>
      </c>
      <c r="F226" s="49" t="s">
        <v>2251</v>
      </c>
      <c r="G226" s="48" t="s">
        <v>2298</v>
      </c>
      <c r="H226" s="48" t="s">
        <v>2290</v>
      </c>
      <c r="I226" s="48" t="s">
        <v>2291</v>
      </c>
      <c r="J226" s="48"/>
      <c r="K226" s="74"/>
      <c r="L226" s="75" t="s">
        <v>2484</v>
      </c>
      <c r="M226" s="76" t="s">
        <v>3115</v>
      </c>
      <c r="N226" s="74" t="s">
        <v>3116</v>
      </c>
      <c r="O226" s="48"/>
      <c r="P226" s="48"/>
      <c r="Q226" s="48" t="s">
        <v>1933</v>
      </c>
      <c r="R226" s="48"/>
      <c r="S226" s="48" t="s">
        <v>1933</v>
      </c>
      <c r="T226" s="48"/>
      <c r="U226" s="48"/>
      <c r="V226" s="48"/>
      <c r="W226" s="48"/>
      <c r="X226" s="48"/>
      <c r="Y226" s="48"/>
      <c r="Z226" s="32" t="s">
        <v>2295</v>
      </c>
    </row>
    <row r="227" spans="1:26" ht="16.95" customHeight="1" x14ac:dyDescent="0.25">
      <c r="A227" s="42" t="s">
        <v>3117</v>
      </c>
      <c r="B227" s="42">
        <v>4</v>
      </c>
      <c r="C227" s="42" t="s">
        <v>2315</v>
      </c>
      <c r="D227" s="42"/>
      <c r="E227" s="42" t="s">
        <v>1933</v>
      </c>
      <c r="F227" s="43" t="s">
        <v>2251</v>
      </c>
      <c r="G227" s="42" t="s">
        <v>3118</v>
      </c>
      <c r="H227" s="42" t="s">
        <v>2290</v>
      </c>
      <c r="I227" s="42" t="s">
        <v>2291</v>
      </c>
      <c r="J227" s="42" t="s">
        <v>2310</v>
      </c>
      <c r="K227" s="65" t="s">
        <v>3119</v>
      </c>
      <c r="L227" s="66" t="s">
        <v>2484</v>
      </c>
      <c r="M227" s="67" t="s">
        <v>3120</v>
      </c>
      <c r="N227" s="65" t="s">
        <v>3121</v>
      </c>
      <c r="O227" s="42"/>
      <c r="P227" s="42" t="s">
        <v>1933</v>
      </c>
      <c r="Q227" s="42" t="s">
        <v>1933</v>
      </c>
      <c r="R227" s="42"/>
      <c r="S227" s="42"/>
      <c r="T227" s="42"/>
      <c r="U227" s="42"/>
      <c r="V227" s="42" t="s">
        <v>1933</v>
      </c>
      <c r="W227" s="42"/>
      <c r="X227" s="42"/>
      <c r="Y227" s="42"/>
      <c r="Z227" s="32" t="s">
        <v>2295</v>
      </c>
    </row>
    <row r="228" spans="1:26" ht="16.95" customHeight="1" x14ac:dyDescent="0.25">
      <c r="A228" s="36" t="s">
        <v>3122</v>
      </c>
      <c r="B228" s="36">
        <v>4</v>
      </c>
      <c r="C228" s="36" t="s">
        <v>2297</v>
      </c>
      <c r="D228" s="36"/>
      <c r="E228" s="36"/>
      <c r="F228" s="37" t="s">
        <v>2251</v>
      </c>
      <c r="G228" s="36" t="s">
        <v>2304</v>
      </c>
      <c r="H228" s="36" t="s">
        <v>2290</v>
      </c>
      <c r="I228" s="36" t="s">
        <v>2291</v>
      </c>
      <c r="J228" s="36"/>
      <c r="K228" s="56"/>
      <c r="L228" s="57" t="s">
        <v>2427</v>
      </c>
      <c r="M228" s="58" t="s">
        <v>3123</v>
      </c>
      <c r="N228" s="56" t="s">
        <v>3124</v>
      </c>
      <c r="O228" s="36"/>
      <c r="P228" s="36" t="s">
        <v>1933</v>
      </c>
      <c r="Q228" s="36"/>
      <c r="R228" s="36" t="s">
        <v>1933</v>
      </c>
      <c r="S228" s="36"/>
      <c r="T228" s="36"/>
      <c r="U228" s="36"/>
      <c r="V228" s="36"/>
      <c r="W228" s="36"/>
      <c r="X228" s="36"/>
      <c r="Y228" s="36"/>
      <c r="Z228" s="32" t="s">
        <v>2295</v>
      </c>
    </row>
    <row r="229" spans="1:26" ht="16.95" customHeight="1" x14ac:dyDescent="0.25">
      <c r="A229" s="48" t="s">
        <v>3125</v>
      </c>
      <c r="B229" s="48">
        <v>4</v>
      </c>
      <c r="C229" s="48" t="s">
        <v>2342</v>
      </c>
      <c r="D229" s="48"/>
      <c r="E229" s="48"/>
      <c r="F229" s="49" t="s">
        <v>2251</v>
      </c>
      <c r="G229" s="48" t="s">
        <v>3126</v>
      </c>
      <c r="H229" s="48" t="s">
        <v>2290</v>
      </c>
      <c r="I229" s="48"/>
      <c r="J229" s="48"/>
      <c r="K229" s="74"/>
      <c r="L229" s="75" t="s">
        <v>2292</v>
      </c>
      <c r="M229" s="76" t="s">
        <v>3127</v>
      </c>
      <c r="N229" s="74" t="s">
        <v>3128</v>
      </c>
      <c r="O229" s="48" t="s">
        <v>1933</v>
      </c>
      <c r="P229" s="48"/>
      <c r="Q229" s="48"/>
      <c r="R229" s="48"/>
      <c r="S229" s="48"/>
      <c r="T229" s="48" t="s">
        <v>1933</v>
      </c>
      <c r="U229" s="48" t="s">
        <v>1933</v>
      </c>
      <c r="V229" s="48" t="s">
        <v>1933</v>
      </c>
      <c r="W229" s="48"/>
      <c r="X229" s="48"/>
      <c r="Y229" s="48"/>
      <c r="Z229" s="32" t="s">
        <v>2295</v>
      </c>
    </row>
    <row r="230" spans="1:26" ht="16.95" customHeight="1" x14ac:dyDescent="0.25">
      <c r="A230" s="46" t="s">
        <v>3129</v>
      </c>
      <c r="B230" s="46">
        <v>4</v>
      </c>
      <c r="C230" s="46" t="s">
        <v>2334</v>
      </c>
      <c r="D230" s="46" t="s">
        <v>1933</v>
      </c>
      <c r="E230" s="46"/>
      <c r="F230" s="47" t="s">
        <v>2472</v>
      </c>
      <c r="G230" s="46" t="s">
        <v>2298</v>
      </c>
      <c r="H230" s="46" t="s">
        <v>2290</v>
      </c>
      <c r="I230" s="46" t="s">
        <v>2291</v>
      </c>
      <c r="J230" s="46" t="s">
        <v>2310</v>
      </c>
      <c r="K230" s="71" t="s">
        <v>3130</v>
      </c>
      <c r="L230" s="72" t="s">
        <v>2292</v>
      </c>
      <c r="M230" s="73" t="s">
        <v>3131</v>
      </c>
      <c r="N230" s="71" t="s">
        <v>3132</v>
      </c>
      <c r="O230" s="46"/>
      <c r="P230" s="46" t="s">
        <v>1933</v>
      </c>
      <c r="Q230" s="46" t="s">
        <v>1933</v>
      </c>
      <c r="R230" s="46"/>
      <c r="S230" s="46"/>
      <c r="T230" s="46"/>
      <c r="U230" s="46"/>
      <c r="V230" s="46" t="s">
        <v>1933</v>
      </c>
      <c r="W230" s="46"/>
      <c r="X230" s="46"/>
      <c r="Y230" s="46"/>
      <c r="Z230" s="32" t="s">
        <v>2295</v>
      </c>
    </row>
    <row r="231" spans="1:26" ht="16.95" customHeight="1" x14ac:dyDescent="0.25">
      <c r="A231" s="44" t="s">
        <v>3133</v>
      </c>
      <c r="B231" s="44">
        <v>4</v>
      </c>
      <c r="C231" s="44" t="s">
        <v>2328</v>
      </c>
      <c r="D231" s="44"/>
      <c r="E231" s="44" t="s">
        <v>1933</v>
      </c>
      <c r="F231" s="45" t="s">
        <v>2251</v>
      </c>
      <c r="G231" s="44" t="s">
        <v>2289</v>
      </c>
      <c r="H231" s="44" t="s">
        <v>2290</v>
      </c>
      <c r="I231" s="44" t="s">
        <v>2291</v>
      </c>
      <c r="J231" s="44"/>
      <c r="K231" s="68"/>
      <c r="L231" s="69" t="s">
        <v>2299</v>
      </c>
      <c r="M231" s="70" t="s">
        <v>3134</v>
      </c>
      <c r="N231" s="68" t="s">
        <v>3135</v>
      </c>
      <c r="O231" s="44"/>
      <c r="P231" s="44"/>
      <c r="Q231" s="44" t="s">
        <v>1933</v>
      </c>
      <c r="R231" s="44"/>
      <c r="S231" s="44" t="s">
        <v>1933</v>
      </c>
      <c r="T231" s="44" t="s">
        <v>1933</v>
      </c>
      <c r="U231" s="44"/>
      <c r="V231" s="44"/>
      <c r="W231" s="44"/>
      <c r="X231" s="44"/>
      <c r="Y231" s="44"/>
      <c r="Z231" s="32" t="s">
        <v>2295</v>
      </c>
    </row>
    <row r="232" spans="1:26" ht="16.95" customHeight="1" x14ac:dyDescent="0.25">
      <c r="A232" s="48" t="s">
        <v>3136</v>
      </c>
      <c r="B232" s="48">
        <v>4</v>
      </c>
      <c r="C232" s="48" t="s">
        <v>2342</v>
      </c>
      <c r="D232" s="48"/>
      <c r="E232" s="48" t="s">
        <v>1933</v>
      </c>
      <c r="F232" s="49" t="s">
        <v>2251</v>
      </c>
      <c r="G232" s="48" t="s">
        <v>2457</v>
      </c>
      <c r="H232" s="48" t="s">
        <v>2290</v>
      </c>
      <c r="I232" s="48" t="s">
        <v>2291</v>
      </c>
      <c r="J232" s="48" t="s">
        <v>2310</v>
      </c>
      <c r="K232" s="74" t="s">
        <v>3137</v>
      </c>
      <c r="L232" s="75" t="s">
        <v>2299</v>
      </c>
      <c r="M232" s="76" t="s">
        <v>3138</v>
      </c>
      <c r="N232" s="74" t="s">
        <v>3139</v>
      </c>
      <c r="O232" s="48"/>
      <c r="P232" s="48"/>
      <c r="Q232" s="48"/>
      <c r="R232" s="48"/>
      <c r="S232" s="48"/>
      <c r="T232" s="48"/>
      <c r="U232" s="48"/>
      <c r="V232" s="48" t="s">
        <v>1933</v>
      </c>
      <c r="W232" s="48"/>
      <c r="X232" s="48"/>
      <c r="Y232" s="48"/>
      <c r="Z232" s="32" t="s">
        <v>2295</v>
      </c>
    </row>
    <row r="233" spans="1:26" ht="16.95" customHeight="1" x14ac:dyDescent="0.25">
      <c r="A233" s="42" t="s">
        <v>3140</v>
      </c>
      <c r="B233" s="42">
        <v>4</v>
      </c>
      <c r="C233" s="42" t="s">
        <v>2315</v>
      </c>
      <c r="D233" s="42"/>
      <c r="E233" s="42"/>
      <c r="F233" s="43" t="s">
        <v>2371</v>
      </c>
      <c r="G233" s="81" t="s">
        <v>2309</v>
      </c>
      <c r="H233" s="42" t="s">
        <v>2290</v>
      </c>
      <c r="I233" s="42" t="s">
        <v>2291</v>
      </c>
      <c r="J233" s="42"/>
      <c r="K233" s="65"/>
      <c r="L233" s="66" t="s">
        <v>2292</v>
      </c>
      <c r="M233" s="67" t="s">
        <v>3141</v>
      </c>
      <c r="N233" s="65" t="s">
        <v>3142</v>
      </c>
      <c r="O233" s="42"/>
      <c r="P233" s="42"/>
      <c r="Q233" s="42"/>
      <c r="R233" s="42"/>
      <c r="S233" s="42"/>
      <c r="T233" s="42"/>
      <c r="U233" s="42"/>
      <c r="V233" s="42" t="s">
        <v>1933</v>
      </c>
      <c r="W233" s="42" t="s">
        <v>1933</v>
      </c>
      <c r="X233" s="42"/>
      <c r="Y233" s="42"/>
      <c r="Z233" s="32" t="s">
        <v>2295</v>
      </c>
    </row>
    <row r="234" spans="1:26" ht="16.95" customHeight="1" x14ac:dyDescent="0.25">
      <c r="A234" s="34" t="s">
        <v>3143</v>
      </c>
      <c r="B234" s="34">
        <v>4</v>
      </c>
      <c r="C234" s="34" t="s">
        <v>2288</v>
      </c>
      <c r="D234" s="34"/>
      <c r="E234" s="34"/>
      <c r="F234" s="35" t="s">
        <v>2251</v>
      </c>
      <c r="G234" s="34" t="s">
        <v>2298</v>
      </c>
      <c r="H234" s="34" t="s">
        <v>2290</v>
      </c>
      <c r="I234" s="34" t="s">
        <v>2291</v>
      </c>
      <c r="J234" s="34" t="s">
        <v>2310</v>
      </c>
      <c r="K234" s="53" t="s">
        <v>3144</v>
      </c>
      <c r="L234" s="54" t="s">
        <v>2371</v>
      </c>
      <c r="M234" s="55" t="s">
        <v>3145</v>
      </c>
      <c r="N234" s="53" t="s">
        <v>3146</v>
      </c>
      <c r="O234" s="34"/>
      <c r="P234" s="34"/>
      <c r="Q234" s="34" t="s">
        <v>1933</v>
      </c>
      <c r="R234" s="34"/>
      <c r="S234" s="34"/>
      <c r="T234" s="34" t="s">
        <v>1933</v>
      </c>
      <c r="U234" s="34"/>
      <c r="V234" s="34" t="s">
        <v>1933</v>
      </c>
      <c r="W234" s="34"/>
      <c r="X234" s="34"/>
      <c r="Y234" s="34"/>
      <c r="Z234" s="32" t="s">
        <v>2295</v>
      </c>
    </row>
    <row r="235" spans="1:26" ht="16.95" customHeight="1" x14ac:dyDescent="0.25">
      <c r="A235" s="34" t="s">
        <v>3147</v>
      </c>
      <c r="B235" s="34">
        <v>4</v>
      </c>
      <c r="C235" s="34" t="s">
        <v>2288</v>
      </c>
      <c r="D235" s="34"/>
      <c r="E235" s="34" t="s">
        <v>1933</v>
      </c>
      <c r="F235" s="35" t="s">
        <v>2251</v>
      </c>
      <c r="G235" s="34" t="s">
        <v>2298</v>
      </c>
      <c r="H235" s="34" t="s">
        <v>2290</v>
      </c>
      <c r="I235" s="34" t="s">
        <v>2291</v>
      </c>
      <c r="J235" s="34"/>
      <c r="K235" s="53"/>
      <c r="L235" s="54" t="s">
        <v>2484</v>
      </c>
      <c r="M235" s="55" t="s">
        <v>3148</v>
      </c>
      <c r="N235" s="53" t="s">
        <v>3149</v>
      </c>
      <c r="O235" s="34" t="s">
        <v>1933</v>
      </c>
      <c r="P235" s="34"/>
      <c r="Q235" s="34" t="s">
        <v>1933</v>
      </c>
      <c r="R235" s="34"/>
      <c r="S235" s="34"/>
      <c r="T235" s="34"/>
      <c r="U235" s="34"/>
      <c r="V235" s="34"/>
      <c r="W235" s="34"/>
      <c r="X235" s="34"/>
      <c r="Y235" s="34"/>
      <c r="Z235" s="32" t="s">
        <v>2295</v>
      </c>
    </row>
    <row r="236" spans="1:26" ht="16.95" customHeight="1" x14ac:dyDescent="0.25">
      <c r="A236" s="36" t="s">
        <v>3150</v>
      </c>
      <c r="B236" s="36">
        <v>4</v>
      </c>
      <c r="C236" s="36" t="s">
        <v>2297</v>
      </c>
      <c r="D236" s="36"/>
      <c r="E236" s="36"/>
      <c r="F236" s="37" t="s">
        <v>2251</v>
      </c>
      <c r="G236" s="36" t="s">
        <v>2304</v>
      </c>
      <c r="H236" s="36" t="s">
        <v>2290</v>
      </c>
      <c r="I236" s="36" t="s">
        <v>2291</v>
      </c>
      <c r="J236" s="36" t="s">
        <v>2310</v>
      </c>
      <c r="K236" s="56" t="s">
        <v>3151</v>
      </c>
      <c r="L236" s="57" t="s">
        <v>2338</v>
      </c>
      <c r="M236" s="58" t="s">
        <v>3152</v>
      </c>
      <c r="N236" s="56" t="s">
        <v>3153</v>
      </c>
      <c r="O236" s="36" t="s">
        <v>1933</v>
      </c>
      <c r="P236" s="36" t="s">
        <v>1933</v>
      </c>
      <c r="Q236" s="36" t="s">
        <v>1933</v>
      </c>
      <c r="R236" s="36"/>
      <c r="S236" s="36" t="s">
        <v>1933</v>
      </c>
      <c r="T236" s="36"/>
      <c r="U236" s="36"/>
      <c r="V236" s="36"/>
      <c r="W236" s="36" t="s">
        <v>1933</v>
      </c>
      <c r="X236" s="36"/>
      <c r="Y236" s="36"/>
      <c r="Z236" s="32" t="s">
        <v>2295</v>
      </c>
    </row>
    <row r="237" spans="1:26" ht="16.95" customHeight="1" x14ac:dyDescent="0.25">
      <c r="A237" s="48" t="s">
        <v>3154</v>
      </c>
      <c r="B237" s="48">
        <v>4</v>
      </c>
      <c r="C237" s="48" t="s">
        <v>2342</v>
      </c>
      <c r="D237" s="48"/>
      <c r="E237" s="48" t="s">
        <v>1933</v>
      </c>
      <c r="F237" s="49" t="s">
        <v>2251</v>
      </c>
      <c r="G237" s="48" t="s">
        <v>2289</v>
      </c>
      <c r="H237" s="48" t="s">
        <v>2290</v>
      </c>
      <c r="I237" s="48" t="s">
        <v>2291</v>
      </c>
      <c r="J237" s="48"/>
      <c r="K237" s="74"/>
      <c r="L237" s="75" t="s">
        <v>2484</v>
      </c>
      <c r="M237" s="76" t="s">
        <v>3155</v>
      </c>
      <c r="N237" s="74" t="s">
        <v>3156</v>
      </c>
      <c r="O237" s="48"/>
      <c r="P237" s="48"/>
      <c r="Q237" s="48" t="s">
        <v>1933</v>
      </c>
      <c r="R237" s="48"/>
      <c r="S237" s="48"/>
      <c r="T237" s="48"/>
      <c r="U237" s="48"/>
      <c r="V237" s="48"/>
      <c r="W237" s="48"/>
      <c r="X237" s="48"/>
      <c r="Y237" s="48"/>
      <c r="Z237" s="32" t="s">
        <v>2295</v>
      </c>
    </row>
    <row r="238" spans="1:26" ht="16.95" customHeight="1" x14ac:dyDescent="0.25">
      <c r="A238" s="48" t="s">
        <v>3157</v>
      </c>
      <c r="B238" s="48">
        <v>4</v>
      </c>
      <c r="C238" s="48" t="s">
        <v>2342</v>
      </c>
      <c r="D238" s="48"/>
      <c r="E238" s="48" t="s">
        <v>1933</v>
      </c>
      <c r="F238" s="49" t="s">
        <v>2370</v>
      </c>
      <c r="G238" s="48" t="s">
        <v>2289</v>
      </c>
      <c r="H238" s="48" t="s">
        <v>2290</v>
      </c>
      <c r="I238" s="48" t="s">
        <v>2291</v>
      </c>
      <c r="J238" s="48"/>
      <c r="K238" s="74"/>
      <c r="L238" s="75" t="s">
        <v>2299</v>
      </c>
      <c r="M238" s="76" t="s">
        <v>3158</v>
      </c>
      <c r="N238" s="74" t="s">
        <v>3159</v>
      </c>
      <c r="O238" s="48"/>
      <c r="P238" s="48"/>
      <c r="Q238" s="48" t="s">
        <v>1933</v>
      </c>
      <c r="R238" s="48"/>
      <c r="S238" s="48" t="s">
        <v>1933</v>
      </c>
      <c r="T238" s="48"/>
      <c r="U238" s="48"/>
      <c r="V238" s="48"/>
      <c r="W238" s="48"/>
      <c r="X238" s="48"/>
      <c r="Y238" s="48"/>
      <c r="Z238" s="32" t="s">
        <v>2295</v>
      </c>
    </row>
    <row r="239" spans="1:26" ht="16.95" customHeight="1" x14ac:dyDescent="0.25">
      <c r="A239" s="40" t="s">
        <v>3160</v>
      </c>
      <c r="B239" s="40">
        <v>4</v>
      </c>
      <c r="C239" s="40" t="s">
        <v>2308</v>
      </c>
      <c r="D239" s="40"/>
      <c r="E239" s="40" t="s">
        <v>1933</v>
      </c>
      <c r="F239" s="41" t="s">
        <v>2251</v>
      </c>
      <c r="G239" s="40" t="s">
        <v>2304</v>
      </c>
      <c r="H239" s="40" t="s">
        <v>2290</v>
      </c>
      <c r="I239" s="40" t="s">
        <v>2291</v>
      </c>
      <c r="J239" s="40"/>
      <c r="K239" s="62"/>
      <c r="L239" s="63" t="s">
        <v>2299</v>
      </c>
      <c r="M239" s="64" t="s">
        <v>3161</v>
      </c>
      <c r="N239" s="62" t="s">
        <v>3162</v>
      </c>
      <c r="O239" s="40" t="s">
        <v>1933</v>
      </c>
      <c r="P239" s="40"/>
      <c r="Q239" s="40"/>
      <c r="R239" s="40"/>
      <c r="S239" s="40"/>
      <c r="T239" s="40" t="s">
        <v>1933</v>
      </c>
      <c r="U239" s="40"/>
      <c r="V239" s="40" t="s">
        <v>1933</v>
      </c>
      <c r="W239" s="40"/>
      <c r="X239" s="40"/>
      <c r="Y239" s="40"/>
      <c r="Z239" s="32" t="s">
        <v>2295</v>
      </c>
    </row>
    <row r="240" spans="1:26" ht="16.95" customHeight="1" x14ac:dyDescent="0.25">
      <c r="A240" s="48" t="s">
        <v>3163</v>
      </c>
      <c r="B240" s="48">
        <v>4</v>
      </c>
      <c r="C240" s="48" t="s">
        <v>2342</v>
      </c>
      <c r="D240" s="48"/>
      <c r="E240" s="48"/>
      <c r="F240" s="49" t="s">
        <v>2251</v>
      </c>
      <c r="G240" s="48" t="s">
        <v>2018</v>
      </c>
      <c r="H240" s="48" t="s">
        <v>2290</v>
      </c>
      <c r="I240" s="48"/>
      <c r="J240" s="48"/>
      <c r="K240" s="74"/>
      <c r="L240" s="75" t="s">
        <v>2427</v>
      </c>
      <c r="M240" s="76" t="s">
        <v>3164</v>
      </c>
      <c r="N240" s="74" t="s">
        <v>3165</v>
      </c>
      <c r="O240" s="48"/>
      <c r="P240" s="48" t="s">
        <v>1933</v>
      </c>
      <c r="Q240" s="48"/>
      <c r="R240" s="48"/>
      <c r="S240" s="48"/>
      <c r="T240" s="48"/>
      <c r="U240" s="48"/>
      <c r="V240" s="48"/>
      <c r="W240" s="48"/>
      <c r="X240" s="48"/>
      <c r="Y240" s="48"/>
      <c r="Z240" s="32" t="s">
        <v>2295</v>
      </c>
    </row>
    <row r="241" spans="1:26" ht="16.95" customHeight="1" x14ac:dyDescent="0.25">
      <c r="A241" s="40" t="s">
        <v>3166</v>
      </c>
      <c r="B241" s="40">
        <v>4</v>
      </c>
      <c r="C241" s="40" t="s">
        <v>2308</v>
      </c>
      <c r="D241" s="40"/>
      <c r="E241" s="40"/>
      <c r="F241" s="41" t="s">
        <v>2371</v>
      </c>
      <c r="G241" s="40" t="s">
        <v>3118</v>
      </c>
      <c r="H241" s="40" t="s">
        <v>2290</v>
      </c>
      <c r="I241" s="40" t="s">
        <v>2291</v>
      </c>
      <c r="J241" s="40" t="s">
        <v>2310</v>
      </c>
      <c r="K241" s="62" t="s">
        <v>3167</v>
      </c>
      <c r="L241" s="63" t="s">
        <v>2432</v>
      </c>
      <c r="M241" s="64" t="s">
        <v>3168</v>
      </c>
      <c r="N241" s="62" t="s">
        <v>3169</v>
      </c>
      <c r="O241" s="40" t="s">
        <v>1933</v>
      </c>
      <c r="P241" s="40"/>
      <c r="Q241" s="40" t="s">
        <v>1933</v>
      </c>
      <c r="R241" s="40"/>
      <c r="S241" s="40"/>
      <c r="T241" s="40"/>
      <c r="U241" s="40" t="s">
        <v>1933</v>
      </c>
      <c r="V241" s="40" t="s">
        <v>1933</v>
      </c>
      <c r="W241" s="40"/>
      <c r="X241" s="40"/>
      <c r="Y241" s="40"/>
      <c r="Z241" s="32" t="s">
        <v>2295</v>
      </c>
    </row>
    <row r="242" spans="1:26" ht="16.95" customHeight="1" x14ac:dyDescent="0.25">
      <c r="A242" s="34" t="s">
        <v>3170</v>
      </c>
      <c r="B242" s="34">
        <v>4</v>
      </c>
      <c r="C242" s="34" t="s">
        <v>2288</v>
      </c>
      <c r="D242" s="34"/>
      <c r="E242" s="34"/>
      <c r="F242" s="35" t="s">
        <v>2251</v>
      </c>
      <c r="G242" s="34" t="s">
        <v>3118</v>
      </c>
      <c r="H242" s="34" t="s">
        <v>2290</v>
      </c>
      <c r="I242" s="34" t="s">
        <v>2291</v>
      </c>
      <c r="J242" s="34" t="s">
        <v>2310</v>
      </c>
      <c r="K242" s="53" t="s">
        <v>3171</v>
      </c>
      <c r="L242" s="54" t="s">
        <v>2292</v>
      </c>
      <c r="M242" s="55" t="s">
        <v>3172</v>
      </c>
      <c r="N242" s="53" t="s">
        <v>3173</v>
      </c>
      <c r="O242" s="34"/>
      <c r="P242" s="34"/>
      <c r="Q242" s="34" t="s">
        <v>1933</v>
      </c>
      <c r="R242" s="34"/>
      <c r="S242" s="34"/>
      <c r="T242" s="34" t="s">
        <v>1933</v>
      </c>
      <c r="U242" s="34"/>
      <c r="V242" s="34" t="s">
        <v>1933</v>
      </c>
      <c r="W242" s="34"/>
      <c r="X242" s="34"/>
      <c r="Y242" s="34"/>
      <c r="Z242" s="32" t="s">
        <v>2295</v>
      </c>
    </row>
    <row r="243" spans="1:26" ht="16.95" customHeight="1" x14ac:dyDescent="0.25">
      <c r="A243" s="48" t="s">
        <v>3174</v>
      </c>
      <c r="B243" s="48">
        <v>4</v>
      </c>
      <c r="C243" s="48" t="s">
        <v>2342</v>
      </c>
      <c r="D243" s="48"/>
      <c r="E243" s="48"/>
      <c r="F243" s="49" t="s">
        <v>2251</v>
      </c>
      <c r="G243" s="48" t="s">
        <v>2304</v>
      </c>
      <c r="H243" s="48" t="s">
        <v>2290</v>
      </c>
      <c r="I243" s="48" t="s">
        <v>2291</v>
      </c>
      <c r="J243" s="48" t="s">
        <v>2310</v>
      </c>
      <c r="K243" s="74" t="s">
        <v>3175</v>
      </c>
      <c r="L243" s="75" t="s">
        <v>3176</v>
      </c>
      <c r="M243" s="76" t="s">
        <v>3177</v>
      </c>
      <c r="N243" s="74" t="s">
        <v>3178</v>
      </c>
      <c r="O243" s="48"/>
      <c r="P243" s="48"/>
      <c r="Q243" s="48"/>
      <c r="R243" s="48"/>
      <c r="S243" s="48"/>
      <c r="T243" s="48"/>
      <c r="U243" s="48"/>
      <c r="V243" s="48" t="s">
        <v>1933</v>
      </c>
      <c r="W243" s="48" t="s">
        <v>1933</v>
      </c>
      <c r="X243" s="48"/>
      <c r="Y243" s="48"/>
      <c r="Z243" s="32" t="s">
        <v>2295</v>
      </c>
    </row>
    <row r="244" spans="1:26" ht="16.95" customHeight="1" x14ac:dyDescent="0.25">
      <c r="A244" s="46" t="s">
        <v>3179</v>
      </c>
      <c r="B244" s="46">
        <v>4</v>
      </c>
      <c r="C244" s="46" t="s">
        <v>2334</v>
      </c>
      <c r="D244" s="46"/>
      <c r="E244" s="46" t="s">
        <v>1933</v>
      </c>
      <c r="F244" s="47" t="s">
        <v>2251</v>
      </c>
      <c r="G244" s="46" t="s">
        <v>2298</v>
      </c>
      <c r="H244" s="46" t="s">
        <v>2290</v>
      </c>
      <c r="I244" s="46" t="s">
        <v>2291</v>
      </c>
      <c r="J244" s="46" t="s">
        <v>2310</v>
      </c>
      <c r="K244" s="71" t="s">
        <v>2786</v>
      </c>
      <c r="L244" s="72" t="s">
        <v>2534</v>
      </c>
      <c r="M244" s="73" t="s">
        <v>3180</v>
      </c>
      <c r="N244" s="71" t="s">
        <v>3181</v>
      </c>
      <c r="O244" s="46" t="s">
        <v>1933</v>
      </c>
      <c r="P244" s="46" t="s">
        <v>1933</v>
      </c>
      <c r="Q244" s="46" t="s">
        <v>1933</v>
      </c>
      <c r="R244" s="46" t="s">
        <v>1933</v>
      </c>
      <c r="S244" s="46" t="s">
        <v>1933</v>
      </c>
      <c r="T244" s="46"/>
      <c r="U244" s="46"/>
      <c r="V244" s="46" t="s">
        <v>1933</v>
      </c>
      <c r="W244" s="46"/>
      <c r="X244" s="46"/>
      <c r="Y244" s="46"/>
      <c r="Z244" s="32" t="s">
        <v>2295</v>
      </c>
    </row>
    <row r="245" spans="1:26" ht="16.95" customHeight="1" x14ac:dyDescent="0.25">
      <c r="A245" s="48" t="s">
        <v>3182</v>
      </c>
      <c r="B245" s="48">
        <v>4</v>
      </c>
      <c r="C245" s="48" t="s">
        <v>2342</v>
      </c>
      <c r="D245" s="48"/>
      <c r="E245" s="48"/>
      <c r="F245" s="49" t="s">
        <v>2251</v>
      </c>
      <c r="G245" s="48" t="s">
        <v>2018</v>
      </c>
      <c r="H245" s="48" t="s">
        <v>2290</v>
      </c>
      <c r="I245" s="48" t="s">
        <v>2291</v>
      </c>
      <c r="J245" s="48" t="s">
        <v>2310</v>
      </c>
      <c r="K245" s="74" t="s">
        <v>3183</v>
      </c>
      <c r="L245" s="75" t="s">
        <v>2427</v>
      </c>
      <c r="M245" s="76" t="s">
        <v>3184</v>
      </c>
      <c r="N245" s="74" t="s">
        <v>3185</v>
      </c>
      <c r="O245" s="48"/>
      <c r="P245" s="48"/>
      <c r="Q245" s="48"/>
      <c r="R245" s="48"/>
      <c r="S245" s="48"/>
      <c r="T245" s="48"/>
      <c r="U245" s="48"/>
      <c r="V245" s="48" t="s">
        <v>1933</v>
      </c>
      <c r="W245" s="48" t="s">
        <v>1933</v>
      </c>
      <c r="X245" s="48"/>
      <c r="Y245" s="48"/>
      <c r="Z245" s="32" t="s">
        <v>2295</v>
      </c>
    </row>
    <row r="246" spans="1:26" ht="16.95" customHeight="1" x14ac:dyDescent="0.25">
      <c r="A246" s="36" t="s">
        <v>3186</v>
      </c>
      <c r="B246" s="36">
        <v>4</v>
      </c>
      <c r="C246" s="36" t="s">
        <v>2297</v>
      </c>
      <c r="D246" s="36"/>
      <c r="E246" s="36"/>
      <c r="F246" s="37" t="s">
        <v>2371</v>
      </c>
      <c r="G246" s="36" t="s">
        <v>2309</v>
      </c>
      <c r="H246" s="36" t="s">
        <v>2290</v>
      </c>
      <c r="I246" s="36" t="s">
        <v>2291</v>
      </c>
      <c r="J246" s="36" t="s">
        <v>2310</v>
      </c>
      <c r="K246" s="56" t="s">
        <v>3187</v>
      </c>
      <c r="L246" s="57" t="s">
        <v>2432</v>
      </c>
      <c r="M246" s="58" t="s">
        <v>3188</v>
      </c>
      <c r="N246" s="56" t="s">
        <v>3189</v>
      </c>
      <c r="O246" s="36"/>
      <c r="P246" s="36"/>
      <c r="Q246" s="36"/>
      <c r="R246" s="36"/>
      <c r="S246" s="36"/>
      <c r="T246" s="36"/>
      <c r="U246" s="36"/>
      <c r="V246" s="36" t="s">
        <v>1933</v>
      </c>
      <c r="W246" s="36" t="s">
        <v>1933</v>
      </c>
      <c r="X246" s="36"/>
      <c r="Y246" s="36"/>
      <c r="Z246" s="32" t="s">
        <v>2295</v>
      </c>
    </row>
    <row r="247" spans="1:26" ht="16.95" customHeight="1" x14ac:dyDescent="0.25">
      <c r="A247" s="36" t="s">
        <v>3190</v>
      </c>
      <c r="B247" s="36">
        <v>4</v>
      </c>
      <c r="C247" s="36" t="s">
        <v>2297</v>
      </c>
      <c r="D247" s="36"/>
      <c r="E247" s="36" t="s">
        <v>1933</v>
      </c>
      <c r="F247" s="37" t="s">
        <v>2251</v>
      </c>
      <c r="G247" s="36" t="s">
        <v>2018</v>
      </c>
      <c r="H247" s="36" t="s">
        <v>2290</v>
      </c>
      <c r="I247" s="36" t="s">
        <v>2291</v>
      </c>
      <c r="J247" s="36" t="s">
        <v>2310</v>
      </c>
      <c r="K247" s="56" t="s">
        <v>3191</v>
      </c>
      <c r="L247" s="57" t="s">
        <v>2299</v>
      </c>
      <c r="M247" s="58" t="s">
        <v>3192</v>
      </c>
      <c r="N247" s="56" t="s">
        <v>3193</v>
      </c>
      <c r="O247" s="36"/>
      <c r="P247" s="36"/>
      <c r="Q247" s="36"/>
      <c r="R247" s="36"/>
      <c r="S247" s="36"/>
      <c r="T247" s="36"/>
      <c r="U247" s="36"/>
      <c r="V247" s="36" t="s">
        <v>1933</v>
      </c>
      <c r="W247" s="36" t="s">
        <v>1933</v>
      </c>
      <c r="X247" s="36"/>
      <c r="Y247" s="36"/>
      <c r="Z247" s="32" t="s">
        <v>2295</v>
      </c>
    </row>
    <row r="248" spans="1:26" ht="16.95" customHeight="1" x14ac:dyDescent="0.25">
      <c r="A248" s="40" t="s">
        <v>3194</v>
      </c>
      <c r="B248" s="40">
        <v>4</v>
      </c>
      <c r="C248" s="40" t="s">
        <v>2308</v>
      </c>
      <c r="D248" s="40"/>
      <c r="E248" s="40" t="s">
        <v>1933</v>
      </c>
      <c r="F248" s="41" t="s">
        <v>2251</v>
      </c>
      <c r="G248" s="40" t="s">
        <v>2309</v>
      </c>
      <c r="H248" s="40" t="s">
        <v>2290</v>
      </c>
      <c r="I248" s="40" t="s">
        <v>2291</v>
      </c>
      <c r="J248" s="40"/>
      <c r="K248" s="62"/>
      <c r="L248" s="63" t="s">
        <v>2299</v>
      </c>
      <c r="M248" s="64" t="s">
        <v>3195</v>
      </c>
      <c r="N248" s="62" t="s">
        <v>3196</v>
      </c>
      <c r="O248" s="40" t="s">
        <v>1933</v>
      </c>
      <c r="P248" s="40"/>
      <c r="Q248" s="40"/>
      <c r="R248" s="40"/>
      <c r="S248" s="40"/>
      <c r="T248" s="40"/>
      <c r="U248" s="40"/>
      <c r="V248" s="40" t="s">
        <v>1933</v>
      </c>
      <c r="W248" s="40"/>
      <c r="X248" s="40"/>
      <c r="Y248" s="40"/>
      <c r="Z248" s="32" t="s">
        <v>2295</v>
      </c>
    </row>
    <row r="249" spans="1:26" ht="16.95" customHeight="1" x14ac:dyDescent="0.25">
      <c r="A249" s="42" t="s">
        <v>3197</v>
      </c>
      <c r="B249" s="42">
        <v>4</v>
      </c>
      <c r="C249" s="42" t="s">
        <v>2315</v>
      </c>
      <c r="D249" s="42"/>
      <c r="E249" s="42" t="s">
        <v>1933</v>
      </c>
      <c r="F249" s="43" t="s">
        <v>2251</v>
      </c>
      <c r="G249" s="42" t="s">
        <v>2289</v>
      </c>
      <c r="H249" s="42" t="s">
        <v>2290</v>
      </c>
      <c r="I249" s="42" t="s">
        <v>2291</v>
      </c>
      <c r="J249" s="42" t="s">
        <v>2310</v>
      </c>
      <c r="K249" s="65" t="s">
        <v>3198</v>
      </c>
      <c r="L249" s="66" t="s">
        <v>2534</v>
      </c>
      <c r="M249" s="67" t="s">
        <v>3199</v>
      </c>
      <c r="N249" s="65" t="s">
        <v>3200</v>
      </c>
      <c r="O249" s="42" t="s">
        <v>1933</v>
      </c>
      <c r="P249" s="42"/>
      <c r="Q249" s="42" t="s">
        <v>1933</v>
      </c>
      <c r="R249" s="42"/>
      <c r="S249" s="42"/>
      <c r="T249" s="42" t="s">
        <v>1933</v>
      </c>
      <c r="U249" s="42"/>
      <c r="V249" s="42" t="s">
        <v>1933</v>
      </c>
      <c r="W249" s="42"/>
      <c r="X249" s="42"/>
      <c r="Y249" s="42"/>
      <c r="Z249" s="32" t="s">
        <v>2295</v>
      </c>
    </row>
    <row r="250" spans="1:26" ht="16.95" customHeight="1" x14ac:dyDescent="0.25">
      <c r="A250" s="44" t="s">
        <v>3201</v>
      </c>
      <c r="B250" s="44">
        <v>4</v>
      </c>
      <c r="C250" s="44" t="s">
        <v>2328</v>
      </c>
      <c r="D250" s="44"/>
      <c r="E250" s="44"/>
      <c r="F250" s="45" t="s">
        <v>2503</v>
      </c>
      <c r="G250" s="44" t="s">
        <v>2298</v>
      </c>
      <c r="H250" s="44" t="s">
        <v>2290</v>
      </c>
      <c r="I250" s="44"/>
      <c r="J250" s="44"/>
      <c r="K250" s="68"/>
      <c r="L250" s="69" t="s">
        <v>2292</v>
      </c>
      <c r="M250" s="70" t="s">
        <v>3202</v>
      </c>
      <c r="N250" s="68" t="s">
        <v>3203</v>
      </c>
      <c r="O250" s="44"/>
      <c r="P250" s="44"/>
      <c r="Q250" s="44"/>
      <c r="R250" s="44" t="s">
        <v>1933</v>
      </c>
      <c r="S250" s="44"/>
      <c r="T250" s="44"/>
      <c r="U250" s="44"/>
      <c r="V250" s="44"/>
      <c r="W250" s="44"/>
      <c r="X250" s="44"/>
      <c r="Y250" s="44"/>
      <c r="Z250" s="32" t="s">
        <v>2295</v>
      </c>
    </row>
    <row r="251" spans="1:26" ht="16.95" customHeight="1" x14ac:dyDescent="0.25">
      <c r="A251" s="42" t="s">
        <v>3204</v>
      </c>
      <c r="B251" s="42">
        <v>4</v>
      </c>
      <c r="C251" s="42" t="s">
        <v>2315</v>
      </c>
      <c r="D251" s="42"/>
      <c r="E251" s="42"/>
      <c r="F251" s="43" t="s">
        <v>2251</v>
      </c>
      <c r="G251" s="42" t="s">
        <v>2304</v>
      </c>
      <c r="H251" s="42" t="s">
        <v>2290</v>
      </c>
      <c r="I251" s="42" t="s">
        <v>2291</v>
      </c>
      <c r="J251" s="42" t="s">
        <v>2310</v>
      </c>
      <c r="K251" s="65" t="s">
        <v>3205</v>
      </c>
      <c r="L251" s="66" t="s">
        <v>2292</v>
      </c>
      <c r="M251" s="67" t="s">
        <v>3206</v>
      </c>
      <c r="N251" s="65" t="s">
        <v>3207</v>
      </c>
      <c r="O251" s="42"/>
      <c r="P251" s="42" t="s">
        <v>1933</v>
      </c>
      <c r="Q251" s="42" t="s">
        <v>1933</v>
      </c>
      <c r="R251" s="42"/>
      <c r="S251" s="42"/>
      <c r="T251" s="42"/>
      <c r="U251" s="42"/>
      <c r="V251" s="42" t="s">
        <v>1933</v>
      </c>
      <c r="W251" s="42" t="s">
        <v>1933</v>
      </c>
      <c r="X251" s="42"/>
      <c r="Y251" s="42"/>
      <c r="Z251" s="32" t="s">
        <v>2295</v>
      </c>
    </row>
    <row r="252" spans="1:26" ht="16.95" customHeight="1" x14ac:dyDescent="0.25">
      <c r="A252" s="36" t="s">
        <v>3208</v>
      </c>
      <c r="B252" s="36">
        <v>4</v>
      </c>
      <c r="C252" s="36" t="s">
        <v>2297</v>
      </c>
      <c r="D252" s="36"/>
      <c r="E252" s="36" t="s">
        <v>1933</v>
      </c>
      <c r="F252" s="37" t="s">
        <v>2251</v>
      </c>
      <c r="G252" s="36" t="s">
        <v>2304</v>
      </c>
      <c r="H252" s="36" t="s">
        <v>2290</v>
      </c>
      <c r="I252" s="36" t="s">
        <v>2291</v>
      </c>
      <c r="J252" s="36" t="s">
        <v>2310</v>
      </c>
      <c r="K252" s="56" t="s">
        <v>3209</v>
      </c>
      <c r="L252" s="57" t="s">
        <v>2534</v>
      </c>
      <c r="M252" s="58" t="s">
        <v>3210</v>
      </c>
      <c r="N252" s="56" t="s">
        <v>3211</v>
      </c>
      <c r="O252" s="36"/>
      <c r="P252" s="36"/>
      <c r="Q252" s="36" t="s">
        <v>1933</v>
      </c>
      <c r="R252" s="36"/>
      <c r="S252" s="36" t="s">
        <v>1933</v>
      </c>
      <c r="T252" s="36" t="s">
        <v>1933</v>
      </c>
      <c r="U252" s="36"/>
      <c r="V252" s="36" t="s">
        <v>1933</v>
      </c>
      <c r="W252" s="36" t="s">
        <v>1933</v>
      </c>
      <c r="X252" s="36"/>
      <c r="Y252" s="36"/>
      <c r="Z252" s="32" t="s">
        <v>2295</v>
      </c>
    </row>
    <row r="253" spans="1:26" ht="16.95" customHeight="1" x14ac:dyDescent="0.25">
      <c r="A253" s="48" t="s">
        <v>3212</v>
      </c>
      <c r="B253" s="48">
        <v>4</v>
      </c>
      <c r="C253" s="48" t="s">
        <v>2342</v>
      </c>
      <c r="D253" s="48"/>
      <c r="E253" s="48" t="s">
        <v>1933</v>
      </c>
      <c r="F253" s="49" t="s">
        <v>2251</v>
      </c>
      <c r="G253" s="48" t="s">
        <v>2457</v>
      </c>
      <c r="H253" s="48" t="s">
        <v>2290</v>
      </c>
      <c r="I253" s="48" t="s">
        <v>2291</v>
      </c>
      <c r="J253" s="48" t="s">
        <v>2310</v>
      </c>
      <c r="K253" s="74" t="s">
        <v>3213</v>
      </c>
      <c r="L253" s="75" t="s">
        <v>2534</v>
      </c>
      <c r="M253" s="76" t="s">
        <v>3214</v>
      </c>
      <c r="N253" s="74" t="s">
        <v>3215</v>
      </c>
      <c r="O253" s="48"/>
      <c r="P253" s="48"/>
      <c r="Q253" s="48"/>
      <c r="R253" s="48"/>
      <c r="S253" s="48"/>
      <c r="T253" s="48"/>
      <c r="U253" s="48" t="s">
        <v>1933</v>
      </c>
      <c r="V253" s="48" t="s">
        <v>1933</v>
      </c>
      <c r="W253" s="48"/>
      <c r="X253" s="48"/>
      <c r="Y253" s="48"/>
      <c r="Z253" s="32" t="s">
        <v>2295</v>
      </c>
    </row>
    <row r="254" spans="1:26" ht="16.95" customHeight="1" x14ac:dyDescent="0.25">
      <c r="A254" s="48" t="s">
        <v>3216</v>
      </c>
      <c r="B254" s="48">
        <v>4</v>
      </c>
      <c r="C254" s="48" t="s">
        <v>2342</v>
      </c>
      <c r="D254" s="48"/>
      <c r="E254" s="48" t="s">
        <v>1933</v>
      </c>
      <c r="F254" s="49" t="s">
        <v>2251</v>
      </c>
      <c r="G254" s="48" t="s">
        <v>2457</v>
      </c>
      <c r="H254" s="48" t="s">
        <v>2290</v>
      </c>
      <c r="I254" s="48" t="s">
        <v>2291</v>
      </c>
      <c r="J254" s="48" t="s">
        <v>2310</v>
      </c>
      <c r="K254" s="74" t="s">
        <v>3217</v>
      </c>
      <c r="L254" s="75" t="s">
        <v>2534</v>
      </c>
      <c r="M254" s="76" t="s">
        <v>3218</v>
      </c>
      <c r="N254" s="74" t="s">
        <v>3219</v>
      </c>
      <c r="O254" s="48"/>
      <c r="P254" s="48"/>
      <c r="Q254" s="48"/>
      <c r="R254" s="48"/>
      <c r="S254" s="48"/>
      <c r="T254" s="48"/>
      <c r="U254" s="48"/>
      <c r="V254" s="48" t="s">
        <v>1933</v>
      </c>
      <c r="W254" s="48" t="s">
        <v>1933</v>
      </c>
      <c r="X254" s="48"/>
      <c r="Y254" s="48"/>
      <c r="Z254" s="32" t="s">
        <v>2295</v>
      </c>
    </row>
    <row r="255" spans="1:26" ht="16.95" customHeight="1" x14ac:dyDescent="0.25">
      <c r="A255" s="48" t="s">
        <v>3220</v>
      </c>
      <c r="B255" s="48">
        <v>4</v>
      </c>
      <c r="C255" s="48" t="s">
        <v>2342</v>
      </c>
      <c r="D255" s="48"/>
      <c r="E255" s="48" t="s">
        <v>1933</v>
      </c>
      <c r="F255" s="49" t="s">
        <v>2251</v>
      </c>
      <c r="G255" s="48" t="s">
        <v>2457</v>
      </c>
      <c r="H255" s="48" t="s">
        <v>2290</v>
      </c>
      <c r="I255" s="48" t="s">
        <v>2291</v>
      </c>
      <c r="J255" s="48" t="s">
        <v>2310</v>
      </c>
      <c r="K255" s="74" t="s">
        <v>3221</v>
      </c>
      <c r="L255" s="75" t="s">
        <v>2534</v>
      </c>
      <c r="M255" s="76" t="s">
        <v>3222</v>
      </c>
      <c r="N255" s="74" t="s">
        <v>3223</v>
      </c>
      <c r="O255" s="48"/>
      <c r="P255" s="48"/>
      <c r="Q255" s="48" t="s">
        <v>1933</v>
      </c>
      <c r="R255" s="48"/>
      <c r="S255" s="48" t="s">
        <v>1933</v>
      </c>
      <c r="T255" s="48"/>
      <c r="U255" s="48"/>
      <c r="V255" s="48" t="s">
        <v>1933</v>
      </c>
      <c r="W255" s="48"/>
      <c r="X255" s="48"/>
      <c r="Y255" s="48"/>
      <c r="Z255" s="32" t="s">
        <v>2295</v>
      </c>
    </row>
    <row r="256" spans="1:26" ht="16.95" customHeight="1" x14ac:dyDescent="0.25">
      <c r="A256" s="34" t="s">
        <v>3224</v>
      </c>
      <c r="B256" s="34">
        <v>4</v>
      </c>
      <c r="C256" s="34" t="s">
        <v>2288</v>
      </c>
      <c r="D256" s="34"/>
      <c r="E256" s="34"/>
      <c r="F256" s="35" t="s">
        <v>2251</v>
      </c>
      <c r="G256" s="34" t="s">
        <v>2865</v>
      </c>
      <c r="H256" s="34" t="s">
        <v>2290</v>
      </c>
      <c r="I256" s="34" t="s">
        <v>2291</v>
      </c>
      <c r="J256" s="34" t="s">
        <v>2310</v>
      </c>
      <c r="K256" s="53" t="s">
        <v>3225</v>
      </c>
      <c r="L256" s="54" t="s">
        <v>2292</v>
      </c>
      <c r="M256" s="55" t="s">
        <v>3226</v>
      </c>
      <c r="N256" s="53" t="s">
        <v>3227</v>
      </c>
      <c r="O256" s="34"/>
      <c r="P256" s="34"/>
      <c r="Q256" s="34"/>
      <c r="R256" s="34"/>
      <c r="S256" s="34"/>
      <c r="T256" s="34" t="s">
        <v>1933</v>
      </c>
      <c r="U256" s="34"/>
      <c r="V256" s="34" t="s">
        <v>1933</v>
      </c>
      <c r="W256" s="34"/>
      <c r="X256" s="34"/>
      <c r="Y256" s="34"/>
      <c r="Z256" s="32" t="s">
        <v>2295</v>
      </c>
    </row>
    <row r="257" spans="1:26" ht="16.95" customHeight="1" x14ac:dyDescent="0.25">
      <c r="A257" s="34" t="s">
        <v>3228</v>
      </c>
      <c r="B257" s="34">
        <v>4</v>
      </c>
      <c r="C257" s="34" t="s">
        <v>2288</v>
      </c>
      <c r="D257" s="34"/>
      <c r="E257" s="34" t="s">
        <v>1933</v>
      </c>
      <c r="F257" s="35" t="s">
        <v>2251</v>
      </c>
      <c r="G257" s="34" t="s">
        <v>2309</v>
      </c>
      <c r="H257" s="34" t="s">
        <v>2290</v>
      </c>
      <c r="I257" s="34" t="s">
        <v>2291</v>
      </c>
      <c r="J257" s="34" t="s">
        <v>2310</v>
      </c>
      <c r="K257" s="53" t="s">
        <v>3229</v>
      </c>
      <c r="L257" s="54" t="s">
        <v>2299</v>
      </c>
      <c r="M257" s="55" t="s">
        <v>3230</v>
      </c>
      <c r="N257" s="53" t="s">
        <v>3231</v>
      </c>
      <c r="O257" s="34"/>
      <c r="P257" s="34"/>
      <c r="Q257" s="34" t="s">
        <v>1933</v>
      </c>
      <c r="R257" s="34"/>
      <c r="S257" s="34"/>
      <c r="T257" s="34" t="s">
        <v>1933</v>
      </c>
      <c r="U257" s="34"/>
      <c r="V257" s="34" t="s">
        <v>1933</v>
      </c>
      <c r="W257" s="34"/>
      <c r="X257" s="34"/>
      <c r="Y257" s="34"/>
      <c r="Z257" s="32" t="s">
        <v>2295</v>
      </c>
    </row>
    <row r="258" spans="1:26" ht="16.95" customHeight="1" x14ac:dyDescent="0.25">
      <c r="A258" s="42" t="s">
        <v>3232</v>
      </c>
      <c r="B258" s="42">
        <v>5</v>
      </c>
      <c r="C258" s="42" t="s">
        <v>2315</v>
      </c>
      <c r="D258" s="42"/>
      <c r="E258" s="42" t="s">
        <v>1933</v>
      </c>
      <c r="F258" s="43" t="s">
        <v>2251</v>
      </c>
      <c r="G258" s="42" t="s">
        <v>2309</v>
      </c>
      <c r="H258" s="42" t="s">
        <v>2290</v>
      </c>
      <c r="I258" s="42" t="s">
        <v>2291</v>
      </c>
      <c r="J258" s="42"/>
      <c r="K258" s="65"/>
      <c r="L258" s="66" t="s">
        <v>2299</v>
      </c>
      <c r="M258" s="67" t="s">
        <v>3233</v>
      </c>
      <c r="N258" s="65" t="s">
        <v>3234</v>
      </c>
      <c r="O258" s="42" t="s">
        <v>1933</v>
      </c>
      <c r="P258" s="42"/>
      <c r="Q258" s="42"/>
      <c r="R258" s="42"/>
      <c r="S258" s="42"/>
      <c r="T258" s="42" t="s">
        <v>1933</v>
      </c>
      <c r="U258" s="42"/>
      <c r="V258" s="42" t="s">
        <v>1933</v>
      </c>
      <c r="W258" s="42" t="s">
        <v>1933</v>
      </c>
      <c r="X258" s="42"/>
      <c r="Y258" s="42"/>
      <c r="Z258" s="32" t="s">
        <v>2295</v>
      </c>
    </row>
    <row r="259" spans="1:26" ht="16.95" customHeight="1" x14ac:dyDescent="0.25">
      <c r="A259" s="36" t="s">
        <v>3235</v>
      </c>
      <c r="B259" s="36">
        <v>5</v>
      </c>
      <c r="C259" s="36" t="s">
        <v>2297</v>
      </c>
      <c r="D259" s="36"/>
      <c r="E259" s="36" t="s">
        <v>1933</v>
      </c>
      <c r="F259" s="37" t="s">
        <v>2251</v>
      </c>
      <c r="G259" s="36" t="s">
        <v>2298</v>
      </c>
      <c r="H259" s="36" t="s">
        <v>2290</v>
      </c>
      <c r="I259" s="36" t="s">
        <v>2291</v>
      </c>
      <c r="J259" s="36"/>
      <c r="K259" s="56"/>
      <c r="L259" s="57" t="s">
        <v>2534</v>
      </c>
      <c r="M259" s="58" t="s">
        <v>3236</v>
      </c>
      <c r="N259" s="56" t="s">
        <v>3237</v>
      </c>
      <c r="O259" s="36"/>
      <c r="P259" s="36"/>
      <c r="Q259" s="36" t="s">
        <v>1933</v>
      </c>
      <c r="R259" s="36"/>
      <c r="S259" s="36"/>
      <c r="T259" s="36"/>
      <c r="U259" s="36"/>
      <c r="V259" s="36"/>
      <c r="W259" s="36"/>
      <c r="X259" s="36"/>
      <c r="Y259" s="36"/>
      <c r="Z259" s="32" t="s">
        <v>2295</v>
      </c>
    </row>
    <row r="260" spans="1:26" ht="16.95" customHeight="1" x14ac:dyDescent="0.25">
      <c r="A260" s="42" t="s">
        <v>3238</v>
      </c>
      <c r="B260" s="42">
        <v>5</v>
      </c>
      <c r="C260" s="42" t="s">
        <v>2315</v>
      </c>
      <c r="D260" s="42"/>
      <c r="E260" s="42"/>
      <c r="F260" s="43" t="s">
        <v>2427</v>
      </c>
      <c r="G260" s="42" t="s">
        <v>2304</v>
      </c>
      <c r="H260" s="42" t="s">
        <v>2290</v>
      </c>
      <c r="I260" s="42" t="s">
        <v>2291</v>
      </c>
      <c r="J260" s="42" t="s">
        <v>2310</v>
      </c>
      <c r="K260" s="65" t="s">
        <v>3239</v>
      </c>
      <c r="L260" s="66" t="s">
        <v>2292</v>
      </c>
      <c r="M260" s="67" t="s">
        <v>3240</v>
      </c>
      <c r="N260" s="65" t="s">
        <v>3241</v>
      </c>
      <c r="O260" s="42" t="s">
        <v>1933</v>
      </c>
      <c r="P260" s="42"/>
      <c r="Q260" s="42" t="s">
        <v>1933</v>
      </c>
      <c r="R260" s="42"/>
      <c r="S260" s="42"/>
      <c r="T260" s="42"/>
      <c r="U260" s="42"/>
      <c r="V260" s="42"/>
      <c r="W260" s="42"/>
      <c r="X260" s="42"/>
      <c r="Y260" s="42"/>
      <c r="Z260" s="32" t="s">
        <v>2295</v>
      </c>
    </row>
    <row r="261" spans="1:26" ht="16.95" customHeight="1" x14ac:dyDescent="0.25">
      <c r="A261" s="48" t="s">
        <v>3242</v>
      </c>
      <c r="B261" s="48">
        <v>5</v>
      </c>
      <c r="C261" s="48" t="s">
        <v>2342</v>
      </c>
      <c r="D261" s="48"/>
      <c r="E261" s="48" t="s">
        <v>1933</v>
      </c>
      <c r="F261" s="49" t="s">
        <v>2503</v>
      </c>
      <c r="G261" s="48" t="s">
        <v>2298</v>
      </c>
      <c r="H261" s="48" t="s">
        <v>2290</v>
      </c>
      <c r="I261" s="48"/>
      <c r="J261" s="48"/>
      <c r="K261" s="74"/>
      <c r="L261" s="75" t="s">
        <v>2299</v>
      </c>
      <c r="M261" s="76" t="s">
        <v>3243</v>
      </c>
      <c r="N261" s="74" t="s">
        <v>3244</v>
      </c>
      <c r="O261" s="48"/>
      <c r="P261" s="48"/>
      <c r="Q261" s="48"/>
      <c r="R261" s="48" t="s">
        <v>1933</v>
      </c>
      <c r="S261" s="48"/>
      <c r="T261" s="48"/>
      <c r="U261" s="48"/>
      <c r="V261" s="48"/>
      <c r="W261" s="48"/>
      <c r="X261" s="48"/>
      <c r="Y261" s="48"/>
      <c r="Z261" s="32" t="s">
        <v>2295</v>
      </c>
    </row>
    <row r="262" spans="1:26" ht="16.95" customHeight="1" x14ac:dyDescent="0.25">
      <c r="A262" s="34" t="s">
        <v>3245</v>
      </c>
      <c r="B262" s="34">
        <v>5</v>
      </c>
      <c r="C262" s="34" t="s">
        <v>2288</v>
      </c>
      <c r="D262" s="34"/>
      <c r="E262" s="34" t="s">
        <v>1933</v>
      </c>
      <c r="F262" s="35" t="s">
        <v>2251</v>
      </c>
      <c r="G262" s="34" t="s">
        <v>2309</v>
      </c>
      <c r="H262" s="34" t="s">
        <v>2290</v>
      </c>
      <c r="I262" s="34" t="s">
        <v>2291</v>
      </c>
      <c r="J262" s="34" t="s">
        <v>2310</v>
      </c>
      <c r="K262" s="53" t="s">
        <v>3246</v>
      </c>
      <c r="L262" s="54" t="s">
        <v>2299</v>
      </c>
      <c r="M262" s="55" t="s">
        <v>3247</v>
      </c>
      <c r="N262" s="53" t="s">
        <v>3248</v>
      </c>
      <c r="O262" s="34"/>
      <c r="P262" s="34"/>
      <c r="Q262" s="34"/>
      <c r="R262" s="34"/>
      <c r="S262" s="34"/>
      <c r="T262" s="34" t="s">
        <v>1933</v>
      </c>
      <c r="U262" s="34"/>
      <c r="V262" s="34" t="s">
        <v>1933</v>
      </c>
      <c r="W262" s="34" t="s">
        <v>1933</v>
      </c>
      <c r="X262" s="34"/>
      <c r="Y262" s="34"/>
      <c r="Z262" s="32" t="s">
        <v>2295</v>
      </c>
    </row>
    <row r="263" spans="1:26" ht="16.95" customHeight="1" x14ac:dyDescent="0.25">
      <c r="A263" s="36" t="s">
        <v>3249</v>
      </c>
      <c r="B263" s="36">
        <v>5</v>
      </c>
      <c r="C263" s="36" t="s">
        <v>2297</v>
      </c>
      <c r="D263" s="36"/>
      <c r="E263" s="36" t="s">
        <v>1933</v>
      </c>
      <c r="F263" s="37" t="s">
        <v>2251</v>
      </c>
      <c r="G263" s="36" t="s">
        <v>2298</v>
      </c>
      <c r="H263" s="36" t="s">
        <v>2290</v>
      </c>
      <c r="I263" s="36"/>
      <c r="J263" s="36"/>
      <c r="K263" s="56"/>
      <c r="L263" s="57" t="s">
        <v>2484</v>
      </c>
      <c r="M263" s="58" t="s">
        <v>3250</v>
      </c>
      <c r="N263" s="56" t="s">
        <v>3251</v>
      </c>
      <c r="O263" s="36"/>
      <c r="P263" s="36" t="s">
        <v>1933</v>
      </c>
      <c r="Q263" s="36"/>
      <c r="R263" s="36" t="s">
        <v>1933</v>
      </c>
      <c r="S263" s="36"/>
      <c r="T263" s="36"/>
      <c r="U263" s="36"/>
      <c r="V263" s="36" t="s">
        <v>1933</v>
      </c>
      <c r="W263" s="36" t="s">
        <v>1933</v>
      </c>
      <c r="X263" s="36"/>
      <c r="Y263" s="36"/>
      <c r="Z263" s="32" t="s">
        <v>2295</v>
      </c>
    </row>
    <row r="264" spans="1:26" ht="16.95" customHeight="1" x14ac:dyDescent="0.25">
      <c r="A264" s="48" t="s">
        <v>3252</v>
      </c>
      <c r="B264" s="48">
        <v>5</v>
      </c>
      <c r="C264" s="48" t="s">
        <v>2342</v>
      </c>
      <c r="D264" s="48"/>
      <c r="E264" s="48" t="s">
        <v>1933</v>
      </c>
      <c r="F264" s="49" t="s">
        <v>2251</v>
      </c>
      <c r="G264" s="48" t="s">
        <v>2309</v>
      </c>
      <c r="H264" s="48" t="s">
        <v>2290</v>
      </c>
      <c r="I264" s="48" t="s">
        <v>2291</v>
      </c>
      <c r="J264" s="48"/>
      <c r="K264" s="74"/>
      <c r="L264" s="75" t="s">
        <v>2484</v>
      </c>
      <c r="M264" s="76" t="s">
        <v>3253</v>
      </c>
      <c r="N264" s="74" t="s">
        <v>3254</v>
      </c>
      <c r="O264" s="48"/>
      <c r="P264" s="48"/>
      <c r="Q264" s="48"/>
      <c r="R264" s="48"/>
      <c r="S264" s="48"/>
      <c r="T264" s="48" t="s">
        <v>1933</v>
      </c>
      <c r="U264" s="48"/>
      <c r="V264" s="48" t="s">
        <v>1933</v>
      </c>
      <c r="W264" s="48"/>
      <c r="X264" s="48"/>
      <c r="Y264" s="48"/>
      <c r="Z264" s="32" t="s">
        <v>2295</v>
      </c>
    </row>
    <row r="265" spans="1:26" ht="16.95" customHeight="1" x14ac:dyDescent="0.25">
      <c r="A265" s="46" t="s">
        <v>3255</v>
      </c>
      <c r="B265" s="46">
        <v>5</v>
      </c>
      <c r="C265" s="46" t="s">
        <v>2334</v>
      </c>
      <c r="D265" s="46" t="s">
        <v>1933</v>
      </c>
      <c r="E265" s="46"/>
      <c r="F265" s="47" t="s">
        <v>2573</v>
      </c>
      <c r="G265" s="46" t="s">
        <v>2298</v>
      </c>
      <c r="H265" s="46" t="s">
        <v>2290</v>
      </c>
      <c r="I265" s="46" t="s">
        <v>2291</v>
      </c>
      <c r="J265" s="46" t="s">
        <v>2310</v>
      </c>
      <c r="K265" s="71" t="s">
        <v>3256</v>
      </c>
      <c r="L265" s="72" t="s">
        <v>2343</v>
      </c>
      <c r="M265" s="73" t="s">
        <v>3257</v>
      </c>
      <c r="N265" s="71" t="s">
        <v>3258</v>
      </c>
      <c r="O265" s="46"/>
      <c r="P265" s="46" t="s">
        <v>1933</v>
      </c>
      <c r="Q265" s="46"/>
      <c r="R265" s="46"/>
      <c r="S265" s="46"/>
      <c r="T265" s="46"/>
      <c r="U265" s="46"/>
      <c r="V265" s="46"/>
      <c r="W265" s="46"/>
      <c r="X265" s="46"/>
      <c r="Y265" s="46"/>
      <c r="Z265" s="32" t="s">
        <v>2295</v>
      </c>
    </row>
    <row r="266" spans="1:26" ht="16.95" customHeight="1" x14ac:dyDescent="0.25">
      <c r="A266" s="46" t="s">
        <v>3259</v>
      </c>
      <c r="B266" s="46">
        <v>5</v>
      </c>
      <c r="C266" s="46" t="s">
        <v>2334</v>
      </c>
      <c r="D266" s="46" t="s">
        <v>1933</v>
      </c>
      <c r="E266" s="46"/>
      <c r="F266" s="47" t="s">
        <v>2573</v>
      </c>
      <c r="G266" s="46" t="s">
        <v>2298</v>
      </c>
      <c r="H266" s="46" t="s">
        <v>2290</v>
      </c>
      <c r="I266" s="46" t="s">
        <v>2291</v>
      </c>
      <c r="J266" s="46"/>
      <c r="K266" s="71"/>
      <c r="L266" s="72" t="s">
        <v>2292</v>
      </c>
      <c r="M266" s="73" t="s">
        <v>3260</v>
      </c>
      <c r="N266" s="71" t="s">
        <v>3261</v>
      </c>
      <c r="O266" s="46"/>
      <c r="P266" s="46"/>
      <c r="Q266" s="46" t="s">
        <v>1933</v>
      </c>
      <c r="R266" s="46"/>
      <c r="S266" s="46" t="s">
        <v>1933</v>
      </c>
      <c r="T266" s="46"/>
      <c r="U266" s="46"/>
      <c r="V266" s="46"/>
      <c r="W266" s="46"/>
      <c r="X266" s="46"/>
      <c r="Y266" s="46"/>
      <c r="Z266" s="32" t="s">
        <v>2295</v>
      </c>
    </row>
    <row r="267" spans="1:26" ht="16.95" customHeight="1" x14ac:dyDescent="0.25">
      <c r="A267" s="34" t="s">
        <v>3262</v>
      </c>
      <c r="B267" s="34">
        <v>5</v>
      </c>
      <c r="C267" s="34" t="s">
        <v>2288</v>
      </c>
      <c r="D267" s="34"/>
      <c r="E267" s="34"/>
      <c r="F267" s="35" t="s">
        <v>2251</v>
      </c>
      <c r="G267" s="34" t="s">
        <v>2298</v>
      </c>
      <c r="H267" s="34" t="s">
        <v>2290</v>
      </c>
      <c r="I267" s="34" t="s">
        <v>2291</v>
      </c>
      <c r="J267" s="34" t="s">
        <v>2310</v>
      </c>
      <c r="K267" s="53" t="s">
        <v>3263</v>
      </c>
      <c r="L267" s="54" t="s">
        <v>2292</v>
      </c>
      <c r="M267" s="55" t="s">
        <v>3264</v>
      </c>
      <c r="N267" s="53" t="s">
        <v>3265</v>
      </c>
      <c r="O267" s="34"/>
      <c r="P267" s="34"/>
      <c r="Q267" s="34" t="s">
        <v>1933</v>
      </c>
      <c r="R267" s="34"/>
      <c r="S267" s="34"/>
      <c r="T267" s="34" t="s">
        <v>1933</v>
      </c>
      <c r="U267" s="34"/>
      <c r="V267" s="34" t="s">
        <v>1933</v>
      </c>
      <c r="W267" s="34"/>
      <c r="X267" s="34"/>
      <c r="Y267" s="34"/>
      <c r="Z267" s="32" t="s">
        <v>2295</v>
      </c>
    </row>
    <row r="268" spans="1:26" ht="16.95" customHeight="1" x14ac:dyDescent="0.25">
      <c r="A268" s="48" t="s">
        <v>3266</v>
      </c>
      <c r="B268" s="48">
        <v>5</v>
      </c>
      <c r="C268" s="48" t="s">
        <v>2342</v>
      </c>
      <c r="D268" s="48"/>
      <c r="E268" s="48" t="s">
        <v>1933</v>
      </c>
      <c r="F268" s="49" t="s">
        <v>2251</v>
      </c>
      <c r="G268" s="48" t="s">
        <v>2289</v>
      </c>
      <c r="H268" s="48" t="s">
        <v>2290</v>
      </c>
      <c r="I268" s="48" t="s">
        <v>2291</v>
      </c>
      <c r="J268" s="48"/>
      <c r="K268" s="74"/>
      <c r="L268" s="75" t="s">
        <v>2484</v>
      </c>
      <c r="M268" s="76" t="s">
        <v>3267</v>
      </c>
      <c r="N268" s="74" t="s">
        <v>3268</v>
      </c>
      <c r="O268" s="48"/>
      <c r="P268" s="48"/>
      <c r="Q268" s="48" t="s">
        <v>1933</v>
      </c>
      <c r="R268" s="48"/>
      <c r="S268" s="48"/>
      <c r="T268" s="48"/>
      <c r="U268" s="48"/>
      <c r="V268" s="48" t="s">
        <v>1933</v>
      </c>
      <c r="W268" s="48"/>
      <c r="X268" s="48"/>
      <c r="Y268" s="48"/>
      <c r="Z268" s="32" t="s">
        <v>2295</v>
      </c>
    </row>
    <row r="269" spans="1:26" ht="16.95" customHeight="1" x14ac:dyDescent="0.25">
      <c r="A269" s="48" t="s">
        <v>3269</v>
      </c>
      <c r="B269" s="48">
        <v>5</v>
      </c>
      <c r="C269" s="48" t="s">
        <v>2342</v>
      </c>
      <c r="D269" s="48"/>
      <c r="E269" s="48"/>
      <c r="F269" s="49" t="s">
        <v>2251</v>
      </c>
      <c r="G269" s="48" t="s">
        <v>2865</v>
      </c>
      <c r="H269" s="48" t="s">
        <v>2290</v>
      </c>
      <c r="I269" s="48" t="s">
        <v>2291</v>
      </c>
      <c r="J269" s="48" t="s">
        <v>2310</v>
      </c>
      <c r="K269" s="74" t="s">
        <v>2923</v>
      </c>
      <c r="L269" s="75" t="s">
        <v>2292</v>
      </c>
      <c r="M269" s="76" t="s">
        <v>3270</v>
      </c>
      <c r="N269" s="74" t="s">
        <v>3271</v>
      </c>
      <c r="O269" s="48"/>
      <c r="P269" s="48"/>
      <c r="Q269" s="48"/>
      <c r="R269" s="48"/>
      <c r="S269" s="48" t="s">
        <v>1933</v>
      </c>
      <c r="T269" s="48"/>
      <c r="U269" s="48"/>
      <c r="V269" s="48"/>
      <c r="W269" s="48"/>
      <c r="X269" s="48"/>
      <c r="Y269" s="48"/>
      <c r="Z269" s="32" t="s">
        <v>2295</v>
      </c>
    </row>
    <row r="270" spans="1:26" ht="16.95" customHeight="1" x14ac:dyDescent="0.25">
      <c r="A270" s="46" t="s">
        <v>3272</v>
      </c>
      <c r="B270" s="46">
        <v>5</v>
      </c>
      <c r="C270" s="46" t="s">
        <v>2334</v>
      </c>
      <c r="D270" s="46" t="s">
        <v>1933</v>
      </c>
      <c r="E270" s="46"/>
      <c r="F270" s="47" t="s">
        <v>2573</v>
      </c>
      <c r="G270" s="46" t="s">
        <v>2298</v>
      </c>
      <c r="H270" s="46" t="s">
        <v>2290</v>
      </c>
      <c r="I270" s="46"/>
      <c r="J270" s="46"/>
      <c r="K270" s="71"/>
      <c r="L270" s="72" t="s">
        <v>2343</v>
      </c>
      <c r="M270" s="73" t="s">
        <v>3273</v>
      </c>
      <c r="N270" s="71" t="s">
        <v>3274</v>
      </c>
      <c r="O270" s="46"/>
      <c r="P270" s="46"/>
      <c r="Q270" s="46"/>
      <c r="R270" s="46"/>
      <c r="S270" s="46"/>
      <c r="T270" s="46"/>
      <c r="U270" s="46" t="s">
        <v>1933</v>
      </c>
      <c r="V270" s="46" t="s">
        <v>1933</v>
      </c>
      <c r="W270" s="46"/>
      <c r="X270" s="46"/>
      <c r="Y270" s="46"/>
      <c r="Z270" s="32" t="s">
        <v>2295</v>
      </c>
    </row>
    <row r="271" spans="1:26" ht="16.95" customHeight="1" x14ac:dyDescent="0.25">
      <c r="A271" s="38" t="s">
        <v>3275</v>
      </c>
      <c r="B271" s="38">
        <v>5</v>
      </c>
      <c r="C271" s="38" t="s">
        <v>2303</v>
      </c>
      <c r="D271" s="38"/>
      <c r="E271" s="38"/>
      <c r="F271" s="39" t="s">
        <v>2251</v>
      </c>
      <c r="G271" s="38" t="s">
        <v>2304</v>
      </c>
      <c r="H271" s="38" t="s">
        <v>2290</v>
      </c>
      <c r="I271" s="38" t="s">
        <v>2291</v>
      </c>
      <c r="J271" s="38"/>
      <c r="K271" s="59"/>
      <c r="L271" s="60" t="s">
        <v>3276</v>
      </c>
      <c r="M271" s="61" t="s">
        <v>3277</v>
      </c>
      <c r="N271" s="59" t="s">
        <v>3278</v>
      </c>
      <c r="O271" s="38"/>
      <c r="P271" s="38" t="s">
        <v>1933</v>
      </c>
      <c r="Q271" s="38" t="s">
        <v>1933</v>
      </c>
      <c r="R271" s="38"/>
      <c r="S271" s="38"/>
      <c r="T271" s="38"/>
      <c r="U271" s="38"/>
      <c r="V271" s="38"/>
      <c r="W271" s="38"/>
      <c r="X271" s="38"/>
      <c r="Y271" s="38"/>
      <c r="Z271" s="32" t="s">
        <v>2295</v>
      </c>
    </row>
    <row r="272" spans="1:26" ht="16.95" customHeight="1" x14ac:dyDescent="0.25">
      <c r="A272" s="40" t="s">
        <v>3279</v>
      </c>
      <c r="B272" s="40">
        <v>5</v>
      </c>
      <c r="C272" s="40" t="s">
        <v>2308</v>
      </c>
      <c r="D272" s="40"/>
      <c r="E272" s="40"/>
      <c r="F272" s="41" t="s">
        <v>2343</v>
      </c>
      <c r="G272" s="40" t="s">
        <v>2018</v>
      </c>
      <c r="H272" s="40" t="s">
        <v>2290</v>
      </c>
      <c r="I272" s="40" t="s">
        <v>2291</v>
      </c>
      <c r="J272" s="40" t="s">
        <v>2310</v>
      </c>
      <c r="K272" s="62" t="s">
        <v>3280</v>
      </c>
      <c r="L272" s="63" t="s">
        <v>3281</v>
      </c>
      <c r="M272" s="64" t="s">
        <v>3282</v>
      </c>
      <c r="N272" s="62" t="s">
        <v>3283</v>
      </c>
      <c r="O272" s="40"/>
      <c r="P272" s="40"/>
      <c r="Q272" s="40"/>
      <c r="R272" s="40"/>
      <c r="S272" s="40"/>
      <c r="T272" s="40" t="s">
        <v>1933</v>
      </c>
      <c r="U272" s="40"/>
      <c r="V272" s="40" t="s">
        <v>1933</v>
      </c>
      <c r="W272" s="40" t="s">
        <v>1933</v>
      </c>
      <c r="X272" s="40"/>
      <c r="Y272" s="40"/>
      <c r="Z272" s="32" t="s">
        <v>2295</v>
      </c>
    </row>
    <row r="273" spans="1:26" ht="16.95" customHeight="1" x14ac:dyDescent="0.25">
      <c r="A273" s="34" t="s">
        <v>3284</v>
      </c>
      <c r="B273" s="34">
        <v>5</v>
      </c>
      <c r="C273" s="34" t="s">
        <v>2288</v>
      </c>
      <c r="D273" s="34"/>
      <c r="E273" s="34"/>
      <c r="F273" s="35" t="s">
        <v>2251</v>
      </c>
      <c r="G273" s="34" t="s">
        <v>2298</v>
      </c>
      <c r="H273" s="34" t="s">
        <v>2290</v>
      </c>
      <c r="I273" s="34"/>
      <c r="J273" s="34"/>
      <c r="K273" s="53"/>
      <c r="L273" s="54" t="s">
        <v>2292</v>
      </c>
      <c r="M273" s="55" t="s">
        <v>3285</v>
      </c>
      <c r="N273" s="53" t="s">
        <v>3286</v>
      </c>
      <c r="O273" s="34"/>
      <c r="P273" s="34"/>
      <c r="Q273" s="34"/>
      <c r="R273" s="34" t="s">
        <v>1933</v>
      </c>
      <c r="S273" s="34"/>
      <c r="T273" s="34"/>
      <c r="U273" s="34"/>
      <c r="V273" s="34"/>
      <c r="W273" s="34"/>
      <c r="X273" s="34"/>
      <c r="Y273" s="34"/>
      <c r="Z273" s="32" t="s">
        <v>2295</v>
      </c>
    </row>
    <row r="274" spans="1:26" ht="16.95" customHeight="1" x14ac:dyDescent="0.25">
      <c r="A274" s="36" t="s">
        <v>3287</v>
      </c>
      <c r="B274" s="36">
        <v>5</v>
      </c>
      <c r="C274" s="36" t="s">
        <v>2297</v>
      </c>
      <c r="D274" s="36"/>
      <c r="E274" s="36" t="s">
        <v>1933</v>
      </c>
      <c r="F274" s="37" t="s">
        <v>2251</v>
      </c>
      <c r="G274" s="36" t="s">
        <v>2298</v>
      </c>
      <c r="H274" s="36" t="s">
        <v>2290</v>
      </c>
      <c r="I274" s="36" t="s">
        <v>2291</v>
      </c>
      <c r="J274" s="36" t="s">
        <v>2310</v>
      </c>
      <c r="K274" s="56" t="s">
        <v>3288</v>
      </c>
      <c r="L274" s="57" t="s">
        <v>2299</v>
      </c>
      <c r="M274" s="58" t="s">
        <v>3289</v>
      </c>
      <c r="N274" s="56" t="s">
        <v>3290</v>
      </c>
      <c r="O274" s="36"/>
      <c r="P274" s="36" t="s">
        <v>1933</v>
      </c>
      <c r="Q274" s="36"/>
      <c r="R274" s="36" t="s">
        <v>1933</v>
      </c>
      <c r="S274" s="36"/>
      <c r="T274" s="36"/>
      <c r="U274" s="36"/>
      <c r="V274" s="36"/>
      <c r="W274" s="36"/>
      <c r="X274" s="36"/>
      <c r="Y274" s="36"/>
      <c r="Z274" s="32" t="s">
        <v>2295</v>
      </c>
    </row>
    <row r="275" spans="1:26" ht="16.95" customHeight="1" x14ac:dyDescent="0.25">
      <c r="A275" s="44" t="s">
        <v>3291</v>
      </c>
      <c r="B275" s="44">
        <v>5</v>
      </c>
      <c r="C275" s="44" t="s">
        <v>2328</v>
      </c>
      <c r="D275" s="44"/>
      <c r="E275" s="44" t="s">
        <v>1933</v>
      </c>
      <c r="F275" s="45" t="s">
        <v>2251</v>
      </c>
      <c r="G275" s="44" t="s">
        <v>2289</v>
      </c>
      <c r="H275" s="44" t="s">
        <v>2290</v>
      </c>
      <c r="I275" s="44" t="s">
        <v>2291</v>
      </c>
      <c r="J275" s="44"/>
      <c r="K275" s="68"/>
      <c r="L275" s="69" t="s">
        <v>2299</v>
      </c>
      <c r="M275" s="70" t="s">
        <v>3292</v>
      </c>
      <c r="N275" s="68" t="s">
        <v>3293</v>
      </c>
      <c r="O275" s="44" t="s">
        <v>1933</v>
      </c>
      <c r="P275" s="44"/>
      <c r="Q275" s="44"/>
      <c r="R275" s="44"/>
      <c r="S275" s="44"/>
      <c r="T275" s="44" t="s">
        <v>1933</v>
      </c>
      <c r="U275" s="44"/>
      <c r="V275" s="44" t="s">
        <v>1933</v>
      </c>
      <c r="W275" s="44"/>
      <c r="X275" s="44"/>
      <c r="Y275" s="44"/>
      <c r="Z275" s="32" t="s">
        <v>2295</v>
      </c>
    </row>
    <row r="276" spans="1:26" ht="16.95" customHeight="1" x14ac:dyDescent="0.25">
      <c r="A276" s="40" t="s">
        <v>3294</v>
      </c>
      <c r="B276" s="40">
        <v>5</v>
      </c>
      <c r="C276" s="40" t="s">
        <v>2308</v>
      </c>
      <c r="D276" s="40"/>
      <c r="E276" s="40"/>
      <c r="F276" s="41" t="s">
        <v>2343</v>
      </c>
      <c r="G276" s="40" t="s">
        <v>3281</v>
      </c>
      <c r="H276" s="40" t="s">
        <v>2290</v>
      </c>
      <c r="I276" s="40" t="s">
        <v>2291</v>
      </c>
      <c r="J276" s="40" t="s">
        <v>2310</v>
      </c>
      <c r="K276" s="62" t="s">
        <v>3295</v>
      </c>
      <c r="L276" s="63" t="s">
        <v>2427</v>
      </c>
      <c r="M276" s="64" t="s">
        <v>3296</v>
      </c>
      <c r="N276" s="62" t="s">
        <v>3297</v>
      </c>
      <c r="O276" s="40" t="s">
        <v>1933</v>
      </c>
      <c r="P276" s="40"/>
      <c r="Q276" s="40"/>
      <c r="R276" s="40"/>
      <c r="S276" s="40"/>
      <c r="T276" s="40"/>
      <c r="U276" s="40" t="s">
        <v>1933</v>
      </c>
      <c r="V276" s="40" t="s">
        <v>1933</v>
      </c>
      <c r="W276" s="40"/>
      <c r="X276" s="40"/>
      <c r="Y276" s="40"/>
      <c r="Z276" s="32" t="s">
        <v>2295</v>
      </c>
    </row>
    <row r="277" spans="1:26" ht="16.95" customHeight="1" x14ac:dyDescent="0.25">
      <c r="A277" s="34" t="s">
        <v>3298</v>
      </c>
      <c r="B277" s="34">
        <v>5</v>
      </c>
      <c r="C277" s="34" t="s">
        <v>2288</v>
      </c>
      <c r="D277" s="34"/>
      <c r="E277" s="34"/>
      <c r="F277" s="35" t="s">
        <v>2251</v>
      </c>
      <c r="G277" s="34" t="s">
        <v>2289</v>
      </c>
      <c r="H277" s="34" t="s">
        <v>2290</v>
      </c>
      <c r="I277" s="34" t="s">
        <v>2291</v>
      </c>
      <c r="J277" s="34" t="s">
        <v>2310</v>
      </c>
      <c r="K277" s="53" t="s">
        <v>3299</v>
      </c>
      <c r="L277" s="54" t="s">
        <v>2292</v>
      </c>
      <c r="M277" s="55" t="s">
        <v>3300</v>
      </c>
      <c r="N277" s="53" t="s">
        <v>3301</v>
      </c>
      <c r="O277" s="34"/>
      <c r="P277" s="34" t="s">
        <v>1933</v>
      </c>
      <c r="Q277" s="34"/>
      <c r="R277" s="34"/>
      <c r="S277" s="34"/>
      <c r="T277" s="34"/>
      <c r="U277" s="34"/>
      <c r="V277" s="34"/>
      <c r="W277" s="34"/>
      <c r="X277" s="34"/>
      <c r="Y277" s="34"/>
      <c r="Z277" s="32" t="s">
        <v>2295</v>
      </c>
    </row>
    <row r="278" spans="1:26" ht="16.95" customHeight="1" x14ac:dyDescent="0.25">
      <c r="A278" s="44" t="s">
        <v>3302</v>
      </c>
      <c r="B278" s="44">
        <v>5</v>
      </c>
      <c r="C278" s="44" t="s">
        <v>2328</v>
      </c>
      <c r="D278" s="44"/>
      <c r="E278" s="44"/>
      <c r="F278" s="45" t="s">
        <v>2343</v>
      </c>
      <c r="G278" s="44" t="s">
        <v>2289</v>
      </c>
      <c r="H278" s="44" t="s">
        <v>2290</v>
      </c>
      <c r="I278" s="44"/>
      <c r="J278" s="44"/>
      <c r="K278" s="68"/>
      <c r="L278" s="69" t="s">
        <v>3303</v>
      </c>
      <c r="M278" s="70" t="s">
        <v>3304</v>
      </c>
      <c r="N278" s="68" t="s">
        <v>3305</v>
      </c>
      <c r="O278" s="44" t="s">
        <v>1933</v>
      </c>
      <c r="P278" s="44" t="s">
        <v>1933</v>
      </c>
      <c r="Q278" s="44" t="s">
        <v>1933</v>
      </c>
      <c r="R278" s="44" t="s">
        <v>1933</v>
      </c>
      <c r="S278" s="44"/>
      <c r="T278" s="44"/>
      <c r="U278" s="44"/>
      <c r="V278" s="44" t="s">
        <v>1933</v>
      </c>
      <c r="W278" s="44"/>
      <c r="X278" s="44"/>
      <c r="Y278" s="44"/>
      <c r="Z278" s="32" t="s">
        <v>2295</v>
      </c>
    </row>
    <row r="279" spans="1:26" ht="16.95" customHeight="1" x14ac:dyDescent="0.25">
      <c r="A279" s="36" t="s">
        <v>3306</v>
      </c>
      <c r="B279" s="36">
        <v>5</v>
      </c>
      <c r="C279" s="36" t="s">
        <v>2297</v>
      </c>
      <c r="D279" s="36"/>
      <c r="E279" s="36"/>
      <c r="F279" s="37" t="s">
        <v>2251</v>
      </c>
      <c r="G279" s="36" t="s">
        <v>2304</v>
      </c>
      <c r="H279" s="36" t="s">
        <v>2290</v>
      </c>
      <c r="I279" s="36" t="s">
        <v>2291</v>
      </c>
      <c r="J279" s="36" t="s">
        <v>2310</v>
      </c>
      <c r="K279" s="56" t="s">
        <v>3307</v>
      </c>
      <c r="L279" s="57" t="s">
        <v>2292</v>
      </c>
      <c r="M279" s="58" t="s">
        <v>3308</v>
      </c>
      <c r="N279" s="56" t="s">
        <v>3309</v>
      </c>
      <c r="O279" s="36" t="s">
        <v>1933</v>
      </c>
      <c r="P279" s="36" t="s">
        <v>1933</v>
      </c>
      <c r="Q279" s="36" t="s">
        <v>1933</v>
      </c>
      <c r="R279" s="36" t="s">
        <v>1933</v>
      </c>
      <c r="S279" s="36" t="s">
        <v>1933</v>
      </c>
      <c r="T279" s="36"/>
      <c r="U279" s="36"/>
      <c r="V279" s="36"/>
      <c r="W279" s="36" t="s">
        <v>1933</v>
      </c>
      <c r="X279" s="36"/>
      <c r="Y279" s="36"/>
      <c r="Z279" s="32" t="s">
        <v>2295</v>
      </c>
    </row>
    <row r="280" spans="1:26" ht="16.95" customHeight="1" x14ac:dyDescent="0.25">
      <c r="A280" s="36" t="s">
        <v>3310</v>
      </c>
      <c r="B280" s="36">
        <v>5</v>
      </c>
      <c r="C280" s="36" t="s">
        <v>2297</v>
      </c>
      <c r="D280" s="36"/>
      <c r="E280" s="36"/>
      <c r="F280" s="37" t="s">
        <v>2432</v>
      </c>
      <c r="G280" s="36" t="s">
        <v>2304</v>
      </c>
      <c r="H280" s="36" t="s">
        <v>2290</v>
      </c>
      <c r="I280" s="36" t="s">
        <v>2291</v>
      </c>
      <c r="J280" s="36" t="s">
        <v>2310</v>
      </c>
      <c r="K280" s="56" t="s">
        <v>3311</v>
      </c>
      <c r="L280" s="57" t="s">
        <v>3176</v>
      </c>
      <c r="M280" s="58" t="s">
        <v>3312</v>
      </c>
      <c r="N280" s="56" t="s">
        <v>3313</v>
      </c>
      <c r="O280" s="36"/>
      <c r="P280" s="36" t="s">
        <v>1933</v>
      </c>
      <c r="Q280" s="36"/>
      <c r="R280" s="36"/>
      <c r="S280" s="36"/>
      <c r="T280" s="36"/>
      <c r="U280" s="36"/>
      <c r="V280" s="36"/>
      <c r="W280" s="36"/>
      <c r="X280" s="36"/>
      <c r="Y280" s="36"/>
      <c r="Z280" s="32" t="s">
        <v>2295</v>
      </c>
    </row>
    <row r="281" spans="1:26" ht="16.95" customHeight="1" x14ac:dyDescent="0.25">
      <c r="A281" s="44" t="s">
        <v>3314</v>
      </c>
      <c r="B281" s="44">
        <v>5</v>
      </c>
      <c r="C281" s="44" t="s">
        <v>2328</v>
      </c>
      <c r="D281" s="44"/>
      <c r="E281" s="44" t="s">
        <v>1933</v>
      </c>
      <c r="F281" s="45" t="s">
        <v>2251</v>
      </c>
      <c r="G281" s="44" t="s">
        <v>2457</v>
      </c>
      <c r="H281" s="44" t="s">
        <v>2290</v>
      </c>
      <c r="I281" s="44" t="s">
        <v>2291</v>
      </c>
      <c r="J281" s="44" t="s">
        <v>2310</v>
      </c>
      <c r="K281" s="68" t="s">
        <v>2768</v>
      </c>
      <c r="L281" s="69" t="s">
        <v>2299</v>
      </c>
      <c r="M281" s="70" t="s">
        <v>3315</v>
      </c>
      <c r="N281" s="68" t="s">
        <v>3316</v>
      </c>
      <c r="O281" s="44" t="s">
        <v>1933</v>
      </c>
      <c r="P281" s="44"/>
      <c r="Q281" s="44"/>
      <c r="R281" s="44"/>
      <c r="S281" s="44"/>
      <c r="T281" s="44" t="s">
        <v>1933</v>
      </c>
      <c r="U281" s="44" t="s">
        <v>1933</v>
      </c>
      <c r="V281" s="44" t="s">
        <v>1933</v>
      </c>
      <c r="W281" s="44"/>
      <c r="X281" s="44"/>
      <c r="Y281" s="44"/>
      <c r="Z281" s="32" t="s">
        <v>2295</v>
      </c>
    </row>
    <row r="282" spans="1:26" ht="16.95" customHeight="1" x14ac:dyDescent="0.25">
      <c r="A282" s="48" t="s">
        <v>3317</v>
      </c>
      <c r="B282" s="48">
        <v>5</v>
      </c>
      <c r="C282" s="48" t="s">
        <v>2342</v>
      </c>
      <c r="D282" s="48"/>
      <c r="E282" s="48" t="s">
        <v>1933</v>
      </c>
      <c r="F282" s="49" t="s">
        <v>2251</v>
      </c>
      <c r="G282" s="48" t="s">
        <v>3118</v>
      </c>
      <c r="H282" s="48" t="s">
        <v>2290</v>
      </c>
      <c r="I282" s="48" t="s">
        <v>2291</v>
      </c>
      <c r="J282" s="48" t="s">
        <v>2310</v>
      </c>
      <c r="K282" s="74" t="s">
        <v>3318</v>
      </c>
      <c r="L282" s="75" t="s">
        <v>2484</v>
      </c>
      <c r="M282" s="76" t="s">
        <v>3319</v>
      </c>
      <c r="N282" s="74" t="s">
        <v>3320</v>
      </c>
      <c r="O282" s="48"/>
      <c r="P282" s="48" t="s">
        <v>1933</v>
      </c>
      <c r="Q282" s="48" t="s">
        <v>1933</v>
      </c>
      <c r="R282" s="48"/>
      <c r="S282" s="48"/>
      <c r="T282" s="48" t="s">
        <v>1933</v>
      </c>
      <c r="U282" s="48"/>
      <c r="V282" s="48"/>
      <c r="W282" s="48"/>
      <c r="X282" s="48"/>
      <c r="Y282" s="48"/>
      <c r="Z282" s="32" t="s">
        <v>2295</v>
      </c>
    </row>
    <row r="283" spans="1:26" ht="16.95" customHeight="1" x14ac:dyDescent="0.25">
      <c r="A283" s="34" t="s">
        <v>3321</v>
      </c>
      <c r="B283" s="34">
        <v>5</v>
      </c>
      <c r="C283" s="34" t="s">
        <v>2288</v>
      </c>
      <c r="D283" s="34"/>
      <c r="E283" s="34" t="s">
        <v>1933</v>
      </c>
      <c r="F283" s="35" t="s">
        <v>2251</v>
      </c>
      <c r="G283" s="34" t="s">
        <v>2309</v>
      </c>
      <c r="H283" s="34" t="s">
        <v>2290</v>
      </c>
      <c r="I283" s="34" t="s">
        <v>2291</v>
      </c>
      <c r="J283" s="34" t="s">
        <v>2310</v>
      </c>
      <c r="K283" s="53" t="s">
        <v>3322</v>
      </c>
      <c r="L283" s="54" t="s">
        <v>2299</v>
      </c>
      <c r="M283" s="55" t="s">
        <v>3323</v>
      </c>
      <c r="N283" s="53" t="s">
        <v>3324</v>
      </c>
      <c r="O283" s="34"/>
      <c r="P283" s="34"/>
      <c r="Q283" s="34"/>
      <c r="R283" s="34"/>
      <c r="S283" s="34"/>
      <c r="T283" s="34"/>
      <c r="U283" s="34" t="s">
        <v>1933</v>
      </c>
      <c r="V283" s="34" t="s">
        <v>1933</v>
      </c>
      <c r="W283" s="34"/>
      <c r="X283" s="34"/>
      <c r="Y283" s="34"/>
      <c r="Z283" s="32" t="s">
        <v>2295</v>
      </c>
    </row>
    <row r="284" spans="1:26" ht="16.95" customHeight="1" x14ac:dyDescent="0.25">
      <c r="A284" s="46" t="s">
        <v>3325</v>
      </c>
      <c r="B284" s="46">
        <v>5</v>
      </c>
      <c r="C284" s="46" t="s">
        <v>2334</v>
      </c>
      <c r="D284" s="46"/>
      <c r="E284" s="46"/>
      <c r="F284" s="47" t="s">
        <v>2371</v>
      </c>
      <c r="G284" s="46" t="s">
        <v>2298</v>
      </c>
      <c r="H284" s="46" t="s">
        <v>2290</v>
      </c>
      <c r="I284" s="46" t="s">
        <v>2291</v>
      </c>
      <c r="J284" s="46" t="s">
        <v>2310</v>
      </c>
      <c r="K284" s="71" t="s">
        <v>3326</v>
      </c>
      <c r="L284" s="72" t="s">
        <v>2292</v>
      </c>
      <c r="M284" s="73" t="s">
        <v>3327</v>
      </c>
      <c r="N284" s="71" t="s">
        <v>3328</v>
      </c>
      <c r="O284" s="46" t="s">
        <v>1933</v>
      </c>
      <c r="P284" s="46" t="s">
        <v>1933</v>
      </c>
      <c r="Q284" s="46"/>
      <c r="R284" s="46"/>
      <c r="S284" s="46"/>
      <c r="T284" s="46"/>
      <c r="U284" s="46"/>
      <c r="V284" s="46" t="s">
        <v>1933</v>
      </c>
      <c r="W284" s="46"/>
      <c r="X284" s="46"/>
      <c r="Y284" s="46"/>
      <c r="Z284" s="32" t="s">
        <v>2295</v>
      </c>
    </row>
    <row r="285" spans="1:26" ht="16.95" customHeight="1" x14ac:dyDescent="0.25">
      <c r="A285" s="34" t="s">
        <v>3329</v>
      </c>
      <c r="B285" s="34">
        <v>5</v>
      </c>
      <c r="C285" s="34" t="s">
        <v>2288</v>
      </c>
      <c r="D285" s="34"/>
      <c r="E285" s="34"/>
      <c r="F285" s="35" t="s">
        <v>2251</v>
      </c>
      <c r="G285" s="34" t="s">
        <v>2289</v>
      </c>
      <c r="H285" s="34" t="s">
        <v>2290</v>
      </c>
      <c r="I285" s="34" t="s">
        <v>2291</v>
      </c>
      <c r="J285" s="34"/>
      <c r="K285" s="53"/>
      <c r="L285" s="54" t="s">
        <v>2292</v>
      </c>
      <c r="M285" s="55" t="s">
        <v>3330</v>
      </c>
      <c r="N285" s="53" t="s">
        <v>3331</v>
      </c>
      <c r="O285" s="34" t="s">
        <v>1933</v>
      </c>
      <c r="P285" s="34" t="s">
        <v>1933</v>
      </c>
      <c r="Q285" s="34" t="s">
        <v>1933</v>
      </c>
      <c r="R285" s="34"/>
      <c r="S285" s="34"/>
      <c r="T285" s="34"/>
      <c r="U285" s="34"/>
      <c r="V285" s="34"/>
      <c r="W285" s="34"/>
      <c r="X285" s="34"/>
      <c r="Y285" s="34"/>
      <c r="Z285" s="32" t="s">
        <v>2295</v>
      </c>
    </row>
    <row r="286" spans="1:26" ht="16.95" customHeight="1" x14ac:dyDescent="0.25">
      <c r="A286" s="40" t="s">
        <v>3332</v>
      </c>
      <c r="B286" s="40">
        <v>5</v>
      </c>
      <c r="C286" s="40" t="s">
        <v>2308</v>
      </c>
      <c r="D286" s="40"/>
      <c r="E286" s="40" t="s">
        <v>1933</v>
      </c>
      <c r="F286" s="41" t="s">
        <v>2251</v>
      </c>
      <c r="G286" s="40" t="s">
        <v>2298</v>
      </c>
      <c r="H286" s="40"/>
      <c r="I286" s="40" t="s">
        <v>2291</v>
      </c>
      <c r="J286" s="40"/>
      <c r="K286" s="62"/>
      <c r="L286" s="63" t="s">
        <v>2534</v>
      </c>
      <c r="M286" s="64" t="s">
        <v>3333</v>
      </c>
      <c r="N286" s="62" t="s">
        <v>3334</v>
      </c>
      <c r="O286" s="40" t="s">
        <v>1933</v>
      </c>
      <c r="P286" s="40"/>
      <c r="Q286" s="40"/>
      <c r="R286" s="40"/>
      <c r="S286" s="40"/>
      <c r="T286" s="40"/>
      <c r="U286" s="40" t="s">
        <v>1933</v>
      </c>
      <c r="V286" s="40" t="s">
        <v>1933</v>
      </c>
      <c r="W286" s="40"/>
      <c r="X286" s="40"/>
      <c r="Y286" s="40"/>
      <c r="Z286" s="32" t="s">
        <v>2295</v>
      </c>
    </row>
    <row r="287" spans="1:26" ht="16.95" customHeight="1" x14ac:dyDescent="0.25">
      <c r="A287" s="44" t="s">
        <v>3335</v>
      </c>
      <c r="B287" s="44">
        <v>5</v>
      </c>
      <c r="C287" s="44" t="s">
        <v>2328</v>
      </c>
      <c r="D287" s="44"/>
      <c r="E287" s="44" t="s">
        <v>1933</v>
      </c>
      <c r="F287" s="45" t="s">
        <v>2251</v>
      </c>
      <c r="G287" s="44" t="s">
        <v>2018</v>
      </c>
      <c r="H287" s="44" t="s">
        <v>2290</v>
      </c>
      <c r="I287" s="44" t="s">
        <v>2291</v>
      </c>
      <c r="J287" s="44"/>
      <c r="K287" s="68"/>
      <c r="L287" s="69" t="s">
        <v>2299</v>
      </c>
      <c r="M287" s="70" t="s">
        <v>3336</v>
      </c>
      <c r="N287" s="68" t="s">
        <v>3337</v>
      </c>
      <c r="O287" s="44" t="s">
        <v>1933</v>
      </c>
      <c r="P287" s="44"/>
      <c r="Q287" s="44"/>
      <c r="R287" s="44"/>
      <c r="S287" s="44"/>
      <c r="T287" s="44"/>
      <c r="U287" s="44"/>
      <c r="V287" s="44" t="s">
        <v>1933</v>
      </c>
      <c r="W287" s="44"/>
      <c r="X287" s="44"/>
      <c r="Y287" s="44"/>
      <c r="Z287" s="32" t="s">
        <v>2295</v>
      </c>
    </row>
    <row r="288" spans="1:26" ht="16.95" customHeight="1" x14ac:dyDescent="0.25">
      <c r="A288" s="42" t="s">
        <v>3338</v>
      </c>
      <c r="B288" s="42">
        <v>5</v>
      </c>
      <c r="C288" s="42" t="s">
        <v>2315</v>
      </c>
      <c r="D288" s="42"/>
      <c r="E288" s="42"/>
      <c r="F288" s="43" t="s">
        <v>2251</v>
      </c>
      <c r="G288" s="42" t="s">
        <v>2018</v>
      </c>
      <c r="H288" s="42" t="s">
        <v>2290</v>
      </c>
      <c r="I288" s="42" t="s">
        <v>2291</v>
      </c>
      <c r="J288" s="42" t="s">
        <v>2310</v>
      </c>
      <c r="K288" s="65" t="s">
        <v>3339</v>
      </c>
      <c r="L288" s="66" t="s">
        <v>2338</v>
      </c>
      <c r="M288" s="67" t="s">
        <v>3340</v>
      </c>
      <c r="N288" s="65" t="s">
        <v>3341</v>
      </c>
      <c r="O288" s="42"/>
      <c r="P288" s="42"/>
      <c r="Q288" s="42"/>
      <c r="R288" s="42"/>
      <c r="S288" s="42"/>
      <c r="T288" s="42"/>
      <c r="U288" s="42"/>
      <c r="V288" s="42" t="s">
        <v>1933</v>
      </c>
      <c r="W288" s="42"/>
      <c r="X288" s="42"/>
      <c r="Y288" s="42"/>
      <c r="Z288" s="32" t="s">
        <v>2295</v>
      </c>
    </row>
    <row r="289" spans="1:26" ht="16.95" customHeight="1" x14ac:dyDescent="0.25">
      <c r="A289" s="48" t="s">
        <v>3342</v>
      </c>
      <c r="B289" s="48">
        <v>5</v>
      </c>
      <c r="C289" s="48" t="s">
        <v>2342</v>
      </c>
      <c r="D289" s="48"/>
      <c r="E289" s="48"/>
      <c r="F289" s="49" t="s">
        <v>2338</v>
      </c>
      <c r="G289" s="48" t="s">
        <v>2289</v>
      </c>
      <c r="H289" s="48" t="s">
        <v>2290</v>
      </c>
      <c r="I289" s="48" t="s">
        <v>2291</v>
      </c>
      <c r="J289" s="48" t="s">
        <v>2310</v>
      </c>
      <c r="K289" s="74" t="s">
        <v>3343</v>
      </c>
      <c r="L289" s="75" t="s">
        <v>2432</v>
      </c>
      <c r="M289" s="76" t="s">
        <v>3344</v>
      </c>
      <c r="N289" s="74" t="s">
        <v>3345</v>
      </c>
      <c r="O289" s="48"/>
      <c r="P289" s="48" t="s">
        <v>1933</v>
      </c>
      <c r="Q289" s="48"/>
      <c r="R289" s="48"/>
      <c r="S289" s="48"/>
      <c r="T289" s="48"/>
      <c r="U289" s="48"/>
      <c r="V289" s="48"/>
      <c r="W289" s="48"/>
      <c r="X289" s="48"/>
      <c r="Y289" s="48"/>
      <c r="Z289" s="32" t="s">
        <v>2295</v>
      </c>
    </row>
    <row r="290" spans="1:26" ht="16.95" customHeight="1" x14ac:dyDescent="0.25">
      <c r="A290" s="38" t="s">
        <v>3346</v>
      </c>
      <c r="B290" s="38">
        <v>5</v>
      </c>
      <c r="C290" s="38" t="s">
        <v>2303</v>
      </c>
      <c r="D290" s="38"/>
      <c r="E290" s="38"/>
      <c r="F290" s="39" t="s">
        <v>2338</v>
      </c>
      <c r="G290" s="38" t="s">
        <v>2304</v>
      </c>
      <c r="H290" s="38" t="s">
        <v>2290</v>
      </c>
      <c r="I290" s="38" t="s">
        <v>2291</v>
      </c>
      <c r="J290" s="38" t="s">
        <v>2310</v>
      </c>
      <c r="K290" s="59" t="s">
        <v>3347</v>
      </c>
      <c r="L290" s="60" t="s">
        <v>2292</v>
      </c>
      <c r="M290" s="61" t="s">
        <v>3348</v>
      </c>
      <c r="N290" s="59" t="s">
        <v>3349</v>
      </c>
      <c r="O290" s="38" t="s">
        <v>1933</v>
      </c>
      <c r="P290" s="38" t="s">
        <v>1933</v>
      </c>
      <c r="Q290" s="38"/>
      <c r="R290" s="38" t="s">
        <v>1933</v>
      </c>
      <c r="S290" s="38"/>
      <c r="T290" s="38"/>
      <c r="U290" s="38"/>
      <c r="V290" s="38"/>
      <c r="W290" s="38"/>
      <c r="X290" s="38"/>
      <c r="Y290" s="38"/>
      <c r="Z290" s="32" t="s">
        <v>2295</v>
      </c>
    </row>
    <row r="291" spans="1:26" ht="16.95" customHeight="1" x14ac:dyDescent="0.25">
      <c r="A291" s="46" t="s">
        <v>3350</v>
      </c>
      <c r="B291" s="46">
        <v>5</v>
      </c>
      <c r="C291" s="46" t="s">
        <v>2334</v>
      </c>
      <c r="D291" s="46" t="s">
        <v>1933</v>
      </c>
      <c r="E291" s="46"/>
      <c r="F291" s="47" t="s">
        <v>2472</v>
      </c>
      <c r="G291" s="46" t="s">
        <v>2018</v>
      </c>
      <c r="H291" s="46" t="s">
        <v>2290</v>
      </c>
      <c r="I291" s="46" t="s">
        <v>2291</v>
      </c>
      <c r="J291" s="46" t="s">
        <v>2310</v>
      </c>
      <c r="K291" s="71" t="s">
        <v>3351</v>
      </c>
      <c r="L291" s="72" t="s">
        <v>2338</v>
      </c>
      <c r="M291" s="73" t="s">
        <v>3352</v>
      </c>
      <c r="N291" s="71" t="s">
        <v>3353</v>
      </c>
      <c r="O291" s="46" t="s">
        <v>1933</v>
      </c>
      <c r="P291" s="46"/>
      <c r="Q291" s="46"/>
      <c r="R291" s="46"/>
      <c r="S291" s="46"/>
      <c r="T291" s="46"/>
      <c r="U291" s="46"/>
      <c r="V291" s="46" t="s">
        <v>1933</v>
      </c>
      <c r="W291" s="46"/>
      <c r="X291" s="46"/>
      <c r="Y291" s="46"/>
      <c r="Z291" s="32" t="s">
        <v>2295</v>
      </c>
    </row>
    <row r="292" spans="1:26" ht="16.95" customHeight="1" x14ac:dyDescent="0.25">
      <c r="A292" s="38" t="s">
        <v>3354</v>
      </c>
      <c r="B292" s="38">
        <v>5</v>
      </c>
      <c r="C292" s="38" t="s">
        <v>2303</v>
      </c>
      <c r="D292" s="38"/>
      <c r="E292" s="38"/>
      <c r="F292" s="39" t="s">
        <v>2338</v>
      </c>
      <c r="G292" s="38" t="s">
        <v>2304</v>
      </c>
      <c r="H292" s="38" t="s">
        <v>2290</v>
      </c>
      <c r="I292" s="38" t="s">
        <v>2291</v>
      </c>
      <c r="J292" s="38" t="s">
        <v>2310</v>
      </c>
      <c r="K292" s="59" t="s">
        <v>3355</v>
      </c>
      <c r="L292" s="60" t="s">
        <v>2292</v>
      </c>
      <c r="M292" s="61" t="s">
        <v>3356</v>
      </c>
      <c r="N292" s="59" t="s">
        <v>3357</v>
      </c>
      <c r="O292" s="38"/>
      <c r="P292" s="38"/>
      <c r="Q292" s="38" t="s">
        <v>1933</v>
      </c>
      <c r="R292" s="38"/>
      <c r="S292" s="38"/>
      <c r="T292" s="38"/>
      <c r="U292" s="38"/>
      <c r="V292" s="38"/>
      <c r="W292" s="38"/>
      <c r="X292" s="38"/>
      <c r="Y292" s="38"/>
      <c r="Z292" s="32" t="s">
        <v>2295</v>
      </c>
    </row>
    <row r="293" spans="1:26" ht="16.95" customHeight="1" x14ac:dyDescent="0.25">
      <c r="A293" s="46" t="s">
        <v>3358</v>
      </c>
      <c r="B293" s="46">
        <v>5</v>
      </c>
      <c r="C293" s="46" t="s">
        <v>2334</v>
      </c>
      <c r="D293" s="46"/>
      <c r="E293" s="46" t="s">
        <v>1933</v>
      </c>
      <c r="F293" s="47" t="s">
        <v>2371</v>
      </c>
      <c r="G293" s="46" t="s">
        <v>2298</v>
      </c>
      <c r="H293" s="46" t="s">
        <v>2290</v>
      </c>
      <c r="I293" s="46" t="s">
        <v>2291</v>
      </c>
      <c r="J293" s="46" t="s">
        <v>2310</v>
      </c>
      <c r="K293" s="71" t="s">
        <v>3359</v>
      </c>
      <c r="L293" s="72" t="s">
        <v>3360</v>
      </c>
      <c r="M293" s="73" t="s">
        <v>3361</v>
      </c>
      <c r="N293" s="71" t="s">
        <v>3362</v>
      </c>
      <c r="O293" s="46" t="s">
        <v>1933</v>
      </c>
      <c r="P293" s="46" t="s">
        <v>1933</v>
      </c>
      <c r="Q293" s="46" t="s">
        <v>1933</v>
      </c>
      <c r="R293" s="46"/>
      <c r="S293" s="46"/>
      <c r="T293" s="46"/>
      <c r="U293" s="46" t="s">
        <v>1933</v>
      </c>
      <c r="V293" s="46" t="s">
        <v>1933</v>
      </c>
      <c r="W293" s="46"/>
      <c r="X293" s="46"/>
      <c r="Y293" s="46"/>
      <c r="Z293" s="32" t="s">
        <v>2295</v>
      </c>
    </row>
    <row r="294" spans="1:26" ht="16.95" customHeight="1" x14ac:dyDescent="0.25">
      <c r="A294" s="40" t="s">
        <v>3363</v>
      </c>
      <c r="B294" s="40">
        <v>5</v>
      </c>
      <c r="C294" s="40" t="s">
        <v>2308</v>
      </c>
      <c r="D294" s="40"/>
      <c r="E294" s="40"/>
      <c r="F294" s="41" t="s">
        <v>2251</v>
      </c>
      <c r="G294" s="40" t="s">
        <v>2018</v>
      </c>
      <c r="H294" s="40" t="s">
        <v>2290</v>
      </c>
      <c r="I294" s="40" t="s">
        <v>2291</v>
      </c>
      <c r="J294" s="40"/>
      <c r="K294" s="62"/>
      <c r="L294" s="63" t="s">
        <v>2427</v>
      </c>
      <c r="M294" s="64" t="s">
        <v>3364</v>
      </c>
      <c r="N294" s="62" t="s">
        <v>3365</v>
      </c>
      <c r="O294" s="40" t="s">
        <v>1933</v>
      </c>
      <c r="P294" s="40"/>
      <c r="Q294" s="40"/>
      <c r="R294" s="40"/>
      <c r="S294" s="40"/>
      <c r="T294" s="40" t="s">
        <v>1933</v>
      </c>
      <c r="U294" s="40"/>
      <c r="V294" s="40" t="s">
        <v>1933</v>
      </c>
      <c r="W294" s="40"/>
      <c r="X294" s="40"/>
      <c r="Y294" s="40"/>
      <c r="Z294" s="32" t="s">
        <v>2295</v>
      </c>
    </row>
    <row r="295" spans="1:26" ht="16.95" customHeight="1" x14ac:dyDescent="0.25">
      <c r="A295" s="48" t="s">
        <v>3366</v>
      </c>
      <c r="B295" s="48">
        <v>5</v>
      </c>
      <c r="C295" s="48" t="s">
        <v>2342</v>
      </c>
      <c r="D295" s="48"/>
      <c r="E295" s="48"/>
      <c r="F295" s="49" t="s">
        <v>2251</v>
      </c>
      <c r="G295" s="48" t="s">
        <v>2018</v>
      </c>
      <c r="H295" s="48"/>
      <c r="I295" s="48" t="s">
        <v>2291</v>
      </c>
      <c r="J295" s="48" t="s">
        <v>2310</v>
      </c>
      <c r="K295" s="74" t="s">
        <v>3367</v>
      </c>
      <c r="L295" s="75" t="s">
        <v>2292</v>
      </c>
      <c r="M295" s="76" t="s">
        <v>3368</v>
      </c>
      <c r="N295" s="74" t="s">
        <v>3369</v>
      </c>
      <c r="O295" s="48"/>
      <c r="P295" s="48"/>
      <c r="Q295" s="48"/>
      <c r="R295" s="48"/>
      <c r="S295" s="48" t="s">
        <v>1933</v>
      </c>
      <c r="T295" s="48"/>
      <c r="U295" s="48"/>
      <c r="V295" s="48" t="s">
        <v>1933</v>
      </c>
      <c r="W295" s="48"/>
      <c r="X295" s="48"/>
      <c r="Y295" s="48"/>
      <c r="Z295" s="32" t="s">
        <v>2295</v>
      </c>
    </row>
    <row r="296" spans="1:26" ht="16.95" customHeight="1" x14ac:dyDescent="0.25">
      <c r="A296" s="48" t="s">
        <v>3370</v>
      </c>
      <c r="B296" s="48">
        <v>5</v>
      </c>
      <c r="C296" s="48" t="s">
        <v>2342</v>
      </c>
      <c r="D296" s="48"/>
      <c r="E296" s="48" t="s">
        <v>1933</v>
      </c>
      <c r="F296" s="49" t="s">
        <v>2251</v>
      </c>
      <c r="G296" s="48" t="s">
        <v>2457</v>
      </c>
      <c r="H296" s="48" t="s">
        <v>2290</v>
      </c>
      <c r="I296" s="48" t="s">
        <v>2291</v>
      </c>
      <c r="J296" s="48" t="s">
        <v>2310</v>
      </c>
      <c r="K296" s="74" t="s">
        <v>3371</v>
      </c>
      <c r="L296" s="75" t="s">
        <v>2534</v>
      </c>
      <c r="M296" s="76" t="s">
        <v>3372</v>
      </c>
      <c r="N296" s="74" t="s">
        <v>3373</v>
      </c>
      <c r="O296" s="48"/>
      <c r="P296" s="48" t="s">
        <v>1933</v>
      </c>
      <c r="Q296" s="48"/>
      <c r="R296" s="48" t="s">
        <v>1933</v>
      </c>
      <c r="S296" s="48"/>
      <c r="T296" s="48"/>
      <c r="U296" s="48"/>
      <c r="V296" s="48"/>
      <c r="W296" s="48"/>
      <c r="X296" s="48"/>
      <c r="Y296" s="48"/>
      <c r="Z296" s="32" t="s">
        <v>2295</v>
      </c>
    </row>
    <row r="297" spans="1:26" ht="16.95" customHeight="1" x14ac:dyDescent="0.25">
      <c r="A297" s="48" t="s">
        <v>3374</v>
      </c>
      <c r="B297" s="48">
        <v>5</v>
      </c>
      <c r="C297" s="48" t="s">
        <v>2342</v>
      </c>
      <c r="D297" s="48"/>
      <c r="E297" s="48" t="s">
        <v>1933</v>
      </c>
      <c r="F297" s="49" t="s">
        <v>2251</v>
      </c>
      <c r="G297" s="48" t="s">
        <v>2457</v>
      </c>
      <c r="H297" s="48" t="s">
        <v>2290</v>
      </c>
      <c r="I297" s="48" t="s">
        <v>2291</v>
      </c>
      <c r="J297" s="48" t="s">
        <v>2310</v>
      </c>
      <c r="K297" s="74" t="s">
        <v>3375</v>
      </c>
      <c r="L297" s="75" t="s">
        <v>2534</v>
      </c>
      <c r="M297" s="76" t="s">
        <v>3376</v>
      </c>
      <c r="N297" s="74" t="s">
        <v>3377</v>
      </c>
      <c r="O297" s="48"/>
      <c r="P297" s="48"/>
      <c r="Q297" s="48"/>
      <c r="R297" s="48"/>
      <c r="S297" s="48"/>
      <c r="T297" s="48"/>
      <c r="U297" s="48"/>
      <c r="V297" s="48" t="s">
        <v>1933</v>
      </c>
      <c r="W297" s="48"/>
      <c r="X297" s="48"/>
      <c r="Y297" s="48"/>
      <c r="Z297" s="32" t="s">
        <v>2295</v>
      </c>
    </row>
    <row r="298" spans="1:26" ht="16.95" customHeight="1" x14ac:dyDescent="0.25">
      <c r="A298" s="42" t="s">
        <v>3378</v>
      </c>
      <c r="B298" s="42">
        <v>5</v>
      </c>
      <c r="C298" s="42" t="s">
        <v>2315</v>
      </c>
      <c r="D298" s="42"/>
      <c r="E298" s="42" t="s">
        <v>1933</v>
      </c>
      <c r="F298" s="43" t="s">
        <v>2370</v>
      </c>
      <c r="G298" s="42" t="s">
        <v>2298</v>
      </c>
      <c r="H298" s="42" t="s">
        <v>2290</v>
      </c>
      <c r="I298" s="42" t="s">
        <v>2291</v>
      </c>
      <c r="J298" s="42" t="s">
        <v>2310</v>
      </c>
      <c r="K298" s="65" t="s">
        <v>3379</v>
      </c>
      <c r="L298" s="66" t="s">
        <v>2299</v>
      </c>
      <c r="M298" s="67" t="s">
        <v>3380</v>
      </c>
      <c r="N298" s="65" t="s">
        <v>3381</v>
      </c>
      <c r="O298" s="42"/>
      <c r="P298" s="42"/>
      <c r="Q298" s="42"/>
      <c r="R298" s="42"/>
      <c r="S298" s="42" t="s">
        <v>1933</v>
      </c>
      <c r="T298" s="42"/>
      <c r="U298" s="42"/>
      <c r="V298" s="42"/>
      <c r="W298" s="42"/>
      <c r="X298" s="42"/>
      <c r="Y298" s="42"/>
      <c r="Z298" s="32" t="s">
        <v>2295</v>
      </c>
    </row>
    <row r="299" spans="1:26" ht="16.95" customHeight="1" x14ac:dyDescent="0.25">
      <c r="A299" s="44" t="s">
        <v>3382</v>
      </c>
      <c r="B299" s="44">
        <v>5</v>
      </c>
      <c r="C299" s="44" t="s">
        <v>2328</v>
      </c>
      <c r="D299" s="44"/>
      <c r="E299" s="44"/>
      <c r="F299" s="45" t="s">
        <v>2251</v>
      </c>
      <c r="G299" s="44" t="s">
        <v>2309</v>
      </c>
      <c r="H299" s="44" t="s">
        <v>2290</v>
      </c>
      <c r="I299" s="44" t="s">
        <v>2291</v>
      </c>
      <c r="J299" s="44"/>
      <c r="K299" s="68"/>
      <c r="L299" s="69" t="s">
        <v>2292</v>
      </c>
      <c r="M299" s="70" t="s">
        <v>3383</v>
      </c>
      <c r="N299" s="68" t="s">
        <v>3384</v>
      </c>
      <c r="O299" s="44" t="s">
        <v>1933</v>
      </c>
      <c r="P299" s="44"/>
      <c r="Q299" s="44"/>
      <c r="R299" s="44"/>
      <c r="S299" s="44"/>
      <c r="T299" s="44" t="s">
        <v>1933</v>
      </c>
      <c r="U299" s="44" t="s">
        <v>1933</v>
      </c>
      <c r="V299" s="44" t="s">
        <v>1933</v>
      </c>
      <c r="W299" s="44"/>
      <c r="X299" s="44"/>
      <c r="Y299" s="44"/>
      <c r="Z299" s="32" t="s">
        <v>2295</v>
      </c>
    </row>
    <row r="300" spans="1:26" ht="16.95" customHeight="1" x14ac:dyDescent="0.25">
      <c r="A300" s="42" t="s">
        <v>3385</v>
      </c>
      <c r="B300" s="42">
        <v>5</v>
      </c>
      <c r="C300" s="42" t="s">
        <v>2315</v>
      </c>
      <c r="D300" s="42"/>
      <c r="E300" s="42" t="s">
        <v>1933</v>
      </c>
      <c r="F300" s="43" t="s">
        <v>2251</v>
      </c>
      <c r="G300" s="42" t="s">
        <v>2289</v>
      </c>
      <c r="H300" s="42" t="s">
        <v>2290</v>
      </c>
      <c r="I300" s="42" t="s">
        <v>2291</v>
      </c>
      <c r="J300" s="42"/>
      <c r="K300" s="65"/>
      <c r="L300" s="66" t="s">
        <v>2484</v>
      </c>
      <c r="M300" s="67" t="s">
        <v>3386</v>
      </c>
      <c r="N300" s="65" t="s">
        <v>3387</v>
      </c>
      <c r="O300" s="42"/>
      <c r="P300" s="42"/>
      <c r="Q300" s="42"/>
      <c r="R300" s="42"/>
      <c r="S300" s="42"/>
      <c r="T300" s="42" t="s">
        <v>1933</v>
      </c>
      <c r="U300" s="42"/>
      <c r="V300" s="42" t="s">
        <v>1933</v>
      </c>
      <c r="W300" s="42"/>
      <c r="X300" s="42"/>
      <c r="Y300" s="42"/>
      <c r="Z300" s="32" t="s">
        <v>2295</v>
      </c>
    </row>
    <row r="301" spans="1:26" ht="16.95" customHeight="1" x14ac:dyDescent="0.25">
      <c r="A301" s="48" t="s">
        <v>3388</v>
      </c>
      <c r="B301" s="48">
        <v>5</v>
      </c>
      <c r="C301" s="48" t="s">
        <v>2342</v>
      </c>
      <c r="D301" s="48"/>
      <c r="E301" s="48"/>
      <c r="F301" s="49" t="s">
        <v>2343</v>
      </c>
      <c r="G301" s="48" t="s">
        <v>2329</v>
      </c>
      <c r="H301" s="48" t="s">
        <v>2290</v>
      </c>
      <c r="I301" s="48"/>
      <c r="J301" s="48" t="s">
        <v>2310</v>
      </c>
      <c r="K301" s="74" t="s">
        <v>3389</v>
      </c>
      <c r="L301" s="75" t="s">
        <v>2355</v>
      </c>
      <c r="M301" s="76" t="s">
        <v>3390</v>
      </c>
      <c r="N301" s="74" t="s">
        <v>3391</v>
      </c>
      <c r="O301" s="48" t="s">
        <v>1933</v>
      </c>
      <c r="P301" s="48"/>
      <c r="Q301" s="48"/>
      <c r="R301" s="48"/>
      <c r="S301" s="48"/>
      <c r="T301" s="48" t="s">
        <v>1933</v>
      </c>
      <c r="U301" s="48" t="s">
        <v>1933</v>
      </c>
      <c r="V301" s="48" t="s">
        <v>1933</v>
      </c>
      <c r="W301" s="48"/>
      <c r="X301" s="48"/>
      <c r="Y301" s="48"/>
      <c r="Z301" s="32" t="s">
        <v>2295</v>
      </c>
    </row>
    <row r="302" spans="1:26" ht="16.95" customHeight="1" x14ac:dyDescent="0.25">
      <c r="A302" s="48" t="s">
        <v>3392</v>
      </c>
      <c r="B302" s="48">
        <v>5</v>
      </c>
      <c r="C302" s="48" t="s">
        <v>2342</v>
      </c>
      <c r="D302" s="48"/>
      <c r="E302" s="48" t="s">
        <v>1933</v>
      </c>
      <c r="F302" s="49" t="s">
        <v>2251</v>
      </c>
      <c r="G302" s="48" t="s">
        <v>2298</v>
      </c>
      <c r="H302" s="48" t="s">
        <v>2290</v>
      </c>
      <c r="I302" s="48" t="s">
        <v>2291</v>
      </c>
      <c r="J302" s="48"/>
      <c r="K302" s="74"/>
      <c r="L302" s="75" t="s">
        <v>2299</v>
      </c>
      <c r="M302" s="76" t="s">
        <v>3393</v>
      </c>
      <c r="N302" s="74" t="s">
        <v>3394</v>
      </c>
      <c r="O302" s="48"/>
      <c r="P302" s="48"/>
      <c r="Q302" s="48" t="s">
        <v>1933</v>
      </c>
      <c r="R302" s="48"/>
      <c r="S302" s="48" t="s">
        <v>1933</v>
      </c>
      <c r="T302" s="48"/>
      <c r="U302" s="48"/>
      <c r="V302" s="48"/>
      <c r="W302" s="48"/>
      <c r="X302" s="48"/>
      <c r="Y302" s="48"/>
      <c r="Z302" s="32" t="s">
        <v>2295</v>
      </c>
    </row>
    <row r="303" spans="1:26" ht="16.95" customHeight="1" x14ac:dyDescent="0.25">
      <c r="A303" s="34" t="s">
        <v>3395</v>
      </c>
      <c r="B303" s="34">
        <v>5</v>
      </c>
      <c r="C303" s="34" t="s">
        <v>2288</v>
      </c>
      <c r="D303" s="34"/>
      <c r="E303" s="34" t="s">
        <v>1933</v>
      </c>
      <c r="F303" s="35" t="s">
        <v>2251</v>
      </c>
      <c r="G303" s="34" t="s">
        <v>2309</v>
      </c>
      <c r="H303" s="34" t="s">
        <v>2290</v>
      </c>
      <c r="I303" s="34" t="s">
        <v>2291</v>
      </c>
      <c r="J303" s="34" t="s">
        <v>2310</v>
      </c>
      <c r="K303" s="53" t="s">
        <v>3396</v>
      </c>
      <c r="L303" s="54" t="s">
        <v>2484</v>
      </c>
      <c r="M303" s="55" t="s">
        <v>3397</v>
      </c>
      <c r="N303" s="53" t="s">
        <v>3398</v>
      </c>
      <c r="O303" s="34"/>
      <c r="P303" s="34"/>
      <c r="Q303" s="34"/>
      <c r="R303" s="34"/>
      <c r="S303" s="34"/>
      <c r="T303" s="34"/>
      <c r="U303" s="34"/>
      <c r="V303" s="34" t="s">
        <v>1933</v>
      </c>
      <c r="W303" s="34"/>
      <c r="X303" s="34"/>
      <c r="Y303" s="34"/>
      <c r="Z303" s="32" t="s">
        <v>2295</v>
      </c>
    </row>
    <row r="304" spans="1:26" ht="16.95" customHeight="1" x14ac:dyDescent="0.25">
      <c r="A304" s="34" t="s">
        <v>3399</v>
      </c>
      <c r="B304" s="34">
        <v>5</v>
      </c>
      <c r="C304" s="34" t="s">
        <v>2288</v>
      </c>
      <c r="D304" s="34"/>
      <c r="E304" s="34" t="s">
        <v>1933</v>
      </c>
      <c r="F304" s="35" t="s">
        <v>2251</v>
      </c>
      <c r="G304" s="34" t="s">
        <v>2309</v>
      </c>
      <c r="H304" s="34" t="s">
        <v>2290</v>
      </c>
      <c r="I304" s="34" t="s">
        <v>2291</v>
      </c>
      <c r="J304" s="34" t="s">
        <v>2310</v>
      </c>
      <c r="K304" s="53" t="s">
        <v>3400</v>
      </c>
      <c r="L304" s="54" t="s">
        <v>2484</v>
      </c>
      <c r="M304" s="55" t="s">
        <v>3401</v>
      </c>
      <c r="N304" s="53" t="s">
        <v>3402</v>
      </c>
      <c r="O304" s="34"/>
      <c r="P304" s="34"/>
      <c r="Q304" s="34" t="s">
        <v>1933</v>
      </c>
      <c r="R304" s="34"/>
      <c r="S304" s="34"/>
      <c r="T304" s="34" t="s">
        <v>1933</v>
      </c>
      <c r="U304" s="34"/>
      <c r="V304" s="34" t="s">
        <v>1933</v>
      </c>
      <c r="W304" s="34" t="s">
        <v>1933</v>
      </c>
      <c r="X304" s="34"/>
      <c r="Y304" s="34"/>
      <c r="Z304" s="32" t="s">
        <v>2295</v>
      </c>
    </row>
    <row r="305" spans="1:26" ht="16.95" customHeight="1" x14ac:dyDescent="0.25">
      <c r="A305" s="44" t="s">
        <v>3403</v>
      </c>
      <c r="B305" s="44">
        <v>5</v>
      </c>
      <c r="C305" s="44" t="s">
        <v>2328</v>
      </c>
      <c r="D305" s="44"/>
      <c r="E305" s="44" t="s">
        <v>1933</v>
      </c>
      <c r="F305" s="45" t="s">
        <v>2251</v>
      </c>
      <c r="G305" s="44" t="s">
        <v>2298</v>
      </c>
      <c r="H305" s="44" t="s">
        <v>2290</v>
      </c>
      <c r="I305" s="44" t="s">
        <v>2291</v>
      </c>
      <c r="J305" s="44" t="s">
        <v>2310</v>
      </c>
      <c r="K305" s="68" t="s">
        <v>3404</v>
      </c>
      <c r="L305" s="69" t="s">
        <v>2299</v>
      </c>
      <c r="M305" s="70" t="s">
        <v>3405</v>
      </c>
      <c r="N305" s="68" t="s">
        <v>3406</v>
      </c>
      <c r="O305" s="44" t="s">
        <v>1933</v>
      </c>
      <c r="P305" s="44"/>
      <c r="Q305" s="44"/>
      <c r="R305" s="44"/>
      <c r="S305" s="44"/>
      <c r="T305" s="44"/>
      <c r="U305" s="44"/>
      <c r="V305" s="44" t="s">
        <v>1933</v>
      </c>
      <c r="W305" s="44"/>
      <c r="X305" s="44"/>
      <c r="Y305" s="44"/>
      <c r="Z305" s="32" t="s">
        <v>2295</v>
      </c>
    </row>
    <row r="306" spans="1:26" ht="16.95" customHeight="1" x14ac:dyDescent="0.25">
      <c r="A306" s="48" t="s">
        <v>3407</v>
      </c>
      <c r="B306" s="48">
        <v>6</v>
      </c>
      <c r="C306" s="48" t="s">
        <v>2342</v>
      </c>
      <c r="D306" s="48"/>
      <c r="E306" s="48" t="s">
        <v>1933</v>
      </c>
      <c r="F306" s="49" t="s">
        <v>2251</v>
      </c>
      <c r="G306" s="48" t="s">
        <v>3126</v>
      </c>
      <c r="H306" s="48" t="s">
        <v>2290</v>
      </c>
      <c r="I306" s="48" t="s">
        <v>2291</v>
      </c>
      <c r="J306" s="48"/>
      <c r="K306" s="74"/>
      <c r="L306" s="75" t="s">
        <v>2484</v>
      </c>
      <c r="M306" s="76" t="s">
        <v>3408</v>
      </c>
      <c r="N306" s="74" t="s">
        <v>3409</v>
      </c>
      <c r="O306" s="48"/>
      <c r="P306" s="48"/>
      <c r="Q306" s="48"/>
      <c r="R306" s="48"/>
      <c r="S306" s="48"/>
      <c r="T306" s="48" t="s">
        <v>1933</v>
      </c>
      <c r="U306" s="48" t="s">
        <v>1933</v>
      </c>
      <c r="V306" s="48" t="s">
        <v>1933</v>
      </c>
      <c r="W306" s="48"/>
      <c r="X306" s="48"/>
      <c r="Y306" s="48"/>
      <c r="Z306" s="32" t="s">
        <v>2295</v>
      </c>
    </row>
    <row r="307" spans="1:26" ht="16.95" customHeight="1" x14ac:dyDescent="0.25">
      <c r="A307" s="34" t="s">
        <v>3410</v>
      </c>
      <c r="B307" s="34">
        <v>6</v>
      </c>
      <c r="C307" s="34" t="s">
        <v>2288</v>
      </c>
      <c r="D307" s="34"/>
      <c r="E307" s="34" t="s">
        <v>1933</v>
      </c>
      <c r="F307" s="35" t="s">
        <v>2251</v>
      </c>
      <c r="G307" s="34" t="s">
        <v>2457</v>
      </c>
      <c r="H307" s="34" t="s">
        <v>2290</v>
      </c>
      <c r="I307" s="34" t="s">
        <v>2291</v>
      </c>
      <c r="J307" s="34"/>
      <c r="K307" s="53"/>
      <c r="L307" s="54" t="s">
        <v>2484</v>
      </c>
      <c r="M307" s="55" t="s">
        <v>3411</v>
      </c>
      <c r="N307" s="53" t="s">
        <v>3412</v>
      </c>
      <c r="O307" s="34"/>
      <c r="P307" s="34" t="s">
        <v>1933</v>
      </c>
      <c r="Q307" s="34"/>
      <c r="R307" s="34"/>
      <c r="S307" s="34"/>
      <c r="T307" s="34"/>
      <c r="U307" s="34"/>
      <c r="V307" s="34"/>
      <c r="W307" s="34"/>
      <c r="X307" s="34"/>
      <c r="Y307" s="34"/>
      <c r="Z307" s="32" t="s">
        <v>2295</v>
      </c>
    </row>
    <row r="308" spans="1:26" ht="16.95" customHeight="1" x14ac:dyDescent="0.25">
      <c r="A308" s="34" t="s">
        <v>3413</v>
      </c>
      <c r="B308" s="34">
        <v>6</v>
      </c>
      <c r="C308" s="34" t="s">
        <v>2288</v>
      </c>
      <c r="D308" s="34"/>
      <c r="E308" s="34"/>
      <c r="F308" s="35" t="s">
        <v>2251</v>
      </c>
      <c r="G308" s="34" t="s">
        <v>2865</v>
      </c>
      <c r="H308" s="34" t="s">
        <v>2290</v>
      </c>
      <c r="I308" s="34" t="s">
        <v>2291</v>
      </c>
      <c r="J308" s="34" t="s">
        <v>2310</v>
      </c>
      <c r="K308" s="53" t="s">
        <v>3414</v>
      </c>
      <c r="L308" s="54" t="s">
        <v>2292</v>
      </c>
      <c r="M308" s="55" t="s">
        <v>3415</v>
      </c>
      <c r="N308" s="53" t="s">
        <v>3416</v>
      </c>
      <c r="O308" s="34"/>
      <c r="P308" s="34"/>
      <c r="Q308" s="34"/>
      <c r="R308" s="34"/>
      <c r="S308" s="34"/>
      <c r="T308" s="34" t="s">
        <v>1933</v>
      </c>
      <c r="U308" s="34"/>
      <c r="V308" s="34" t="s">
        <v>1933</v>
      </c>
      <c r="W308" s="34"/>
      <c r="X308" s="34"/>
      <c r="Y308" s="34"/>
      <c r="Z308" s="32" t="s">
        <v>2295</v>
      </c>
    </row>
    <row r="309" spans="1:26" ht="16.95" customHeight="1" x14ac:dyDescent="0.25">
      <c r="A309" s="38" t="s">
        <v>3417</v>
      </c>
      <c r="B309" s="38">
        <v>6</v>
      </c>
      <c r="C309" s="38" t="s">
        <v>2303</v>
      </c>
      <c r="D309" s="38"/>
      <c r="E309" s="38"/>
      <c r="F309" s="39" t="s">
        <v>2251</v>
      </c>
      <c r="G309" s="38" t="s">
        <v>2865</v>
      </c>
      <c r="H309" s="38" t="s">
        <v>2290</v>
      </c>
      <c r="I309" s="38" t="s">
        <v>2291</v>
      </c>
      <c r="J309" s="38" t="s">
        <v>2310</v>
      </c>
      <c r="K309" s="59" t="s">
        <v>3418</v>
      </c>
      <c r="L309" s="60" t="s">
        <v>2292</v>
      </c>
      <c r="M309" s="61" t="s">
        <v>3419</v>
      </c>
      <c r="N309" s="59" t="s">
        <v>3420</v>
      </c>
      <c r="O309" s="38"/>
      <c r="P309" s="38"/>
      <c r="Q309" s="38"/>
      <c r="R309" s="38"/>
      <c r="S309" s="38"/>
      <c r="T309" s="38" t="s">
        <v>1933</v>
      </c>
      <c r="U309" s="38" t="s">
        <v>1933</v>
      </c>
      <c r="V309" s="38" t="s">
        <v>1933</v>
      </c>
      <c r="W309" s="38"/>
      <c r="X309" s="38"/>
      <c r="Y309" s="38"/>
      <c r="Z309" s="32" t="s">
        <v>2295</v>
      </c>
    </row>
    <row r="310" spans="1:26" ht="16.95" customHeight="1" x14ac:dyDescent="0.25">
      <c r="A310" s="48" t="s">
        <v>3421</v>
      </c>
      <c r="B310" s="48">
        <v>6</v>
      </c>
      <c r="C310" s="48" t="s">
        <v>2342</v>
      </c>
      <c r="D310" s="48"/>
      <c r="E310" s="48" t="s">
        <v>1933</v>
      </c>
      <c r="F310" s="49" t="s">
        <v>2251</v>
      </c>
      <c r="G310" s="48" t="s">
        <v>2289</v>
      </c>
      <c r="H310" s="48" t="s">
        <v>2290</v>
      </c>
      <c r="I310" s="48" t="s">
        <v>2291</v>
      </c>
      <c r="J310" s="48"/>
      <c r="K310" s="74"/>
      <c r="L310" s="75" t="s">
        <v>2484</v>
      </c>
      <c r="M310" s="76" t="s">
        <v>3422</v>
      </c>
      <c r="N310" s="74" t="s">
        <v>3423</v>
      </c>
      <c r="O310" s="48"/>
      <c r="P310" s="48"/>
      <c r="Q310" s="48" t="s">
        <v>1933</v>
      </c>
      <c r="R310" s="48"/>
      <c r="S310" s="48"/>
      <c r="T310" s="48"/>
      <c r="U310" s="48"/>
      <c r="V310" s="48"/>
      <c r="W310" s="48"/>
      <c r="X310" s="48"/>
      <c r="Y310" s="48"/>
      <c r="Z310" s="32" t="s">
        <v>2295</v>
      </c>
    </row>
    <row r="311" spans="1:26" ht="16.95" customHeight="1" x14ac:dyDescent="0.25">
      <c r="A311" s="36" t="s">
        <v>3424</v>
      </c>
      <c r="B311" s="36">
        <v>6</v>
      </c>
      <c r="C311" s="36" t="s">
        <v>2297</v>
      </c>
      <c r="D311" s="36"/>
      <c r="E311" s="36"/>
      <c r="F311" s="37" t="s">
        <v>2371</v>
      </c>
      <c r="G311" s="36" t="s">
        <v>2298</v>
      </c>
      <c r="H311" s="36" t="s">
        <v>2290</v>
      </c>
      <c r="I311" s="36" t="s">
        <v>2291</v>
      </c>
      <c r="J311" s="36" t="s">
        <v>2310</v>
      </c>
      <c r="K311" s="56" t="s">
        <v>3425</v>
      </c>
      <c r="L311" s="57" t="s">
        <v>2579</v>
      </c>
      <c r="M311" s="58" t="s">
        <v>3426</v>
      </c>
      <c r="N311" s="56" t="s">
        <v>3427</v>
      </c>
      <c r="O311" s="36"/>
      <c r="P311" s="36"/>
      <c r="Q311" s="36"/>
      <c r="R311" s="36"/>
      <c r="S311" s="36"/>
      <c r="T311" s="36"/>
      <c r="U311" s="36"/>
      <c r="V311" s="36" t="s">
        <v>1933</v>
      </c>
      <c r="W311" s="36"/>
      <c r="X311" s="36"/>
      <c r="Y311" s="36"/>
      <c r="Z311" s="32" t="s">
        <v>2295</v>
      </c>
    </row>
    <row r="312" spans="1:26" ht="16.95" customHeight="1" x14ac:dyDescent="0.25">
      <c r="A312" s="38" t="s">
        <v>3428</v>
      </c>
      <c r="B312" s="38">
        <v>6</v>
      </c>
      <c r="C312" s="38" t="s">
        <v>2303</v>
      </c>
      <c r="D312" s="38"/>
      <c r="E312" s="38"/>
      <c r="F312" s="39" t="s">
        <v>2343</v>
      </c>
      <c r="G312" s="38" t="s">
        <v>2329</v>
      </c>
      <c r="H312" s="38" t="s">
        <v>2290</v>
      </c>
      <c r="I312" s="38" t="s">
        <v>2291</v>
      </c>
      <c r="J312" s="38" t="s">
        <v>2310</v>
      </c>
      <c r="K312" s="59" t="s">
        <v>3429</v>
      </c>
      <c r="L312" s="60" t="s">
        <v>2292</v>
      </c>
      <c r="M312" s="61" t="s">
        <v>3430</v>
      </c>
      <c r="N312" s="59" t="s">
        <v>3431</v>
      </c>
      <c r="O312" s="38"/>
      <c r="P312" s="38" t="s">
        <v>1933</v>
      </c>
      <c r="Q312" s="38"/>
      <c r="R312" s="38"/>
      <c r="S312" s="38"/>
      <c r="T312" s="38"/>
      <c r="U312" s="38" t="s">
        <v>1933</v>
      </c>
      <c r="V312" s="38" t="s">
        <v>1933</v>
      </c>
      <c r="W312" s="38"/>
      <c r="X312" s="38"/>
      <c r="Y312" s="38"/>
      <c r="Z312" s="32" t="s">
        <v>2295</v>
      </c>
    </row>
    <row r="313" spans="1:26" ht="16.95" customHeight="1" x14ac:dyDescent="0.25">
      <c r="A313" s="42" t="s">
        <v>3432</v>
      </c>
      <c r="B313" s="42">
        <v>6</v>
      </c>
      <c r="C313" s="42" t="s">
        <v>2315</v>
      </c>
      <c r="D313" s="42"/>
      <c r="E313" s="42"/>
      <c r="F313" s="43" t="s">
        <v>2251</v>
      </c>
      <c r="G313" s="42" t="s">
        <v>2289</v>
      </c>
      <c r="H313" s="42" t="s">
        <v>2290</v>
      </c>
      <c r="I313" s="42" t="s">
        <v>2291</v>
      </c>
      <c r="J313" s="42" t="s">
        <v>2310</v>
      </c>
      <c r="K313" s="65" t="s">
        <v>3433</v>
      </c>
      <c r="L313" s="66" t="s">
        <v>2292</v>
      </c>
      <c r="M313" s="67" t="s">
        <v>3434</v>
      </c>
      <c r="N313" s="65" t="s">
        <v>3435</v>
      </c>
      <c r="O313" s="42"/>
      <c r="P313" s="42"/>
      <c r="Q313" s="42"/>
      <c r="R313" s="42"/>
      <c r="S313" s="42"/>
      <c r="T313" s="42" t="s">
        <v>1933</v>
      </c>
      <c r="U313" s="42"/>
      <c r="V313" s="42" t="s">
        <v>1933</v>
      </c>
      <c r="W313" s="42"/>
      <c r="X313" s="42"/>
      <c r="Y313" s="42"/>
      <c r="Z313" s="32" t="s">
        <v>2295</v>
      </c>
    </row>
    <row r="314" spans="1:26" ht="16.95" customHeight="1" x14ac:dyDescent="0.25">
      <c r="A314" s="48" t="s">
        <v>3436</v>
      </c>
      <c r="B314" s="48">
        <v>6</v>
      </c>
      <c r="C314" s="48" t="s">
        <v>2342</v>
      </c>
      <c r="D314" s="48" t="s">
        <v>1933</v>
      </c>
      <c r="E314" s="48"/>
      <c r="F314" s="49" t="s">
        <v>2573</v>
      </c>
      <c r="G314" s="48" t="s">
        <v>2304</v>
      </c>
      <c r="H314" s="48" t="s">
        <v>2290</v>
      </c>
      <c r="I314" s="48" t="s">
        <v>2291</v>
      </c>
      <c r="J314" s="48" t="s">
        <v>2310</v>
      </c>
      <c r="K314" s="74" t="s">
        <v>3437</v>
      </c>
      <c r="L314" s="75" t="s">
        <v>2705</v>
      </c>
      <c r="M314" s="76" t="s">
        <v>3438</v>
      </c>
      <c r="N314" s="74" t="s">
        <v>3439</v>
      </c>
      <c r="O314" s="48"/>
      <c r="P314" s="48"/>
      <c r="Q314" s="48"/>
      <c r="R314" s="48"/>
      <c r="S314" s="48"/>
      <c r="T314" s="48"/>
      <c r="U314" s="48"/>
      <c r="V314" s="48" t="s">
        <v>1933</v>
      </c>
      <c r="W314" s="48"/>
      <c r="X314" s="48"/>
      <c r="Y314" s="48"/>
      <c r="Z314" s="32" t="s">
        <v>2295</v>
      </c>
    </row>
    <row r="315" spans="1:26" ht="16.95" customHeight="1" x14ac:dyDescent="0.25">
      <c r="A315" s="38" t="s">
        <v>3440</v>
      </c>
      <c r="B315" s="38">
        <v>6</v>
      </c>
      <c r="C315" s="38" t="s">
        <v>2303</v>
      </c>
      <c r="D315" s="38"/>
      <c r="E315" s="38" t="s">
        <v>1933</v>
      </c>
      <c r="F315" s="39" t="s">
        <v>2251</v>
      </c>
      <c r="G315" s="38" t="s">
        <v>2298</v>
      </c>
      <c r="H315" s="38" t="s">
        <v>2290</v>
      </c>
      <c r="I315" s="38" t="s">
        <v>2291</v>
      </c>
      <c r="J315" s="38"/>
      <c r="K315" s="59"/>
      <c r="L315" s="60" t="s">
        <v>2299</v>
      </c>
      <c r="M315" s="61" t="s">
        <v>3441</v>
      </c>
      <c r="N315" s="59" t="s">
        <v>3442</v>
      </c>
      <c r="O315" s="38" t="s">
        <v>1933</v>
      </c>
      <c r="P315" s="38"/>
      <c r="Q315" s="38"/>
      <c r="R315" s="38"/>
      <c r="S315" s="38"/>
      <c r="T315" s="38" t="s">
        <v>1933</v>
      </c>
      <c r="U315" s="38" t="s">
        <v>1933</v>
      </c>
      <c r="V315" s="38" t="s">
        <v>1933</v>
      </c>
      <c r="W315" s="38"/>
      <c r="X315" s="38"/>
      <c r="Y315" s="38"/>
      <c r="Z315" s="32" t="s">
        <v>2295</v>
      </c>
    </row>
    <row r="316" spans="1:26" ht="16.95" customHeight="1" x14ac:dyDescent="0.25">
      <c r="A316" s="46" t="s">
        <v>3443</v>
      </c>
      <c r="B316" s="46">
        <v>6</v>
      </c>
      <c r="C316" s="46" t="s">
        <v>2334</v>
      </c>
      <c r="D316" s="46"/>
      <c r="E316" s="46" t="s">
        <v>1933</v>
      </c>
      <c r="F316" s="47" t="s">
        <v>2343</v>
      </c>
      <c r="G316" s="46" t="s">
        <v>2298</v>
      </c>
      <c r="H316" s="46" t="s">
        <v>2290</v>
      </c>
      <c r="I316" s="46" t="s">
        <v>2291</v>
      </c>
      <c r="J316" s="46" t="s">
        <v>2310</v>
      </c>
      <c r="K316" s="71" t="s">
        <v>3444</v>
      </c>
      <c r="L316" s="72" t="s">
        <v>3445</v>
      </c>
      <c r="M316" s="73" t="s">
        <v>3446</v>
      </c>
      <c r="N316" s="71" t="s">
        <v>3447</v>
      </c>
      <c r="O316" s="46" t="s">
        <v>1933</v>
      </c>
      <c r="P316" s="46" t="s">
        <v>1933</v>
      </c>
      <c r="Q316" s="46" t="s">
        <v>1933</v>
      </c>
      <c r="R316" s="46"/>
      <c r="S316" s="46"/>
      <c r="T316" s="46"/>
      <c r="U316" s="46"/>
      <c r="V316" s="46"/>
      <c r="W316" s="46"/>
      <c r="X316" s="46"/>
      <c r="Y316" s="46"/>
      <c r="Z316" s="32" t="s">
        <v>2295</v>
      </c>
    </row>
    <row r="317" spans="1:26" ht="16.95" customHeight="1" x14ac:dyDescent="0.25">
      <c r="A317" s="42" t="s">
        <v>3448</v>
      </c>
      <c r="B317" s="42">
        <v>6</v>
      </c>
      <c r="C317" s="42" t="s">
        <v>2315</v>
      </c>
      <c r="D317" s="42"/>
      <c r="E317" s="42" t="s">
        <v>1933</v>
      </c>
      <c r="F317" s="43" t="s">
        <v>2251</v>
      </c>
      <c r="G317" s="42" t="s">
        <v>2289</v>
      </c>
      <c r="H317" s="42" t="s">
        <v>2290</v>
      </c>
      <c r="I317" s="42" t="s">
        <v>2291</v>
      </c>
      <c r="J317" s="42" t="s">
        <v>2310</v>
      </c>
      <c r="K317" s="65" t="s">
        <v>3449</v>
      </c>
      <c r="L317" s="66" t="s">
        <v>2299</v>
      </c>
      <c r="M317" s="67" t="s">
        <v>3450</v>
      </c>
      <c r="N317" s="65" t="s">
        <v>3451</v>
      </c>
      <c r="O317" s="42"/>
      <c r="P317" s="42"/>
      <c r="Q317" s="42" t="s">
        <v>1933</v>
      </c>
      <c r="R317" s="42"/>
      <c r="S317" s="42"/>
      <c r="T317" s="42" t="s">
        <v>1933</v>
      </c>
      <c r="U317" s="42"/>
      <c r="V317" s="42" t="s">
        <v>1933</v>
      </c>
      <c r="W317" s="42"/>
      <c r="X317" s="42"/>
      <c r="Y317" s="42"/>
      <c r="Z317" s="32" t="s">
        <v>2295</v>
      </c>
    </row>
    <row r="318" spans="1:26" ht="16.95" customHeight="1" x14ac:dyDescent="0.25">
      <c r="A318" s="36" t="s">
        <v>3452</v>
      </c>
      <c r="B318" s="36">
        <v>6</v>
      </c>
      <c r="C318" s="36" t="s">
        <v>2297</v>
      </c>
      <c r="D318" s="36" t="s">
        <v>1933</v>
      </c>
      <c r="E318" s="36"/>
      <c r="F318" s="37" t="s">
        <v>3453</v>
      </c>
      <c r="G318" s="36" t="s">
        <v>2304</v>
      </c>
      <c r="H318" s="36" t="s">
        <v>2290</v>
      </c>
      <c r="I318" s="36" t="s">
        <v>2291</v>
      </c>
      <c r="J318" s="36" t="s">
        <v>2310</v>
      </c>
      <c r="K318" s="56" t="s">
        <v>3454</v>
      </c>
      <c r="L318" s="57" t="s">
        <v>3455</v>
      </c>
      <c r="M318" s="58" t="s">
        <v>3456</v>
      </c>
      <c r="N318" s="56" t="s">
        <v>3457</v>
      </c>
      <c r="O318" s="36"/>
      <c r="P318" s="36" t="s">
        <v>1933</v>
      </c>
      <c r="Q318" s="36"/>
      <c r="R318" s="36"/>
      <c r="S318" s="36"/>
      <c r="T318" s="36"/>
      <c r="U318" s="36"/>
      <c r="V318" s="36"/>
      <c r="W318" s="36"/>
      <c r="X318" s="36"/>
      <c r="Y318" s="36"/>
      <c r="Z318" s="32" t="s">
        <v>2295</v>
      </c>
    </row>
    <row r="319" spans="1:26" ht="16.95" customHeight="1" x14ac:dyDescent="0.25">
      <c r="A319" s="36" t="s">
        <v>3458</v>
      </c>
      <c r="B319" s="36">
        <v>6</v>
      </c>
      <c r="C319" s="36" t="s">
        <v>2297</v>
      </c>
      <c r="D319" s="36"/>
      <c r="E319" s="36" t="s">
        <v>1933</v>
      </c>
      <c r="F319" s="37" t="s">
        <v>2251</v>
      </c>
      <c r="G319" s="36" t="s">
        <v>2298</v>
      </c>
      <c r="H319" s="36" t="s">
        <v>2290</v>
      </c>
      <c r="I319" s="36" t="s">
        <v>2291</v>
      </c>
      <c r="J319" s="36" t="s">
        <v>2310</v>
      </c>
      <c r="K319" s="56" t="s">
        <v>3459</v>
      </c>
      <c r="L319" s="57" t="s">
        <v>2299</v>
      </c>
      <c r="M319" s="58" t="s">
        <v>3460</v>
      </c>
      <c r="N319" s="56" t="s">
        <v>3461</v>
      </c>
      <c r="O319" s="36"/>
      <c r="P319" s="36"/>
      <c r="Q319" s="36"/>
      <c r="R319" s="36"/>
      <c r="S319" s="36"/>
      <c r="T319" s="36" t="s">
        <v>1933</v>
      </c>
      <c r="U319" s="36"/>
      <c r="V319" s="36" t="s">
        <v>1933</v>
      </c>
      <c r="W319" s="36"/>
      <c r="X319" s="36"/>
      <c r="Y319" s="36"/>
      <c r="Z319" s="32" t="s">
        <v>2295</v>
      </c>
    </row>
    <row r="320" spans="1:26" ht="16.95" customHeight="1" x14ac:dyDescent="0.25">
      <c r="A320" s="36" t="s">
        <v>3462</v>
      </c>
      <c r="B320" s="36">
        <v>6</v>
      </c>
      <c r="C320" s="36" t="s">
        <v>2297</v>
      </c>
      <c r="D320" s="36"/>
      <c r="E320" s="36"/>
      <c r="F320" s="37" t="s">
        <v>2338</v>
      </c>
      <c r="G320" s="36" t="s">
        <v>2304</v>
      </c>
      <c r="H320" s="36" t="s">
        <v>2290</v>
      </c>
      <c r="I320" s="36" t="s">
        <v>2291</v>
      </c>
      <c r="J320" s="36" t="s">
        <v>2310</v>
      </c>
      <c r="K320" s="56" t="s">
        <v>3463</v>
      </c>
      <c r="L320" s="57" t="s">
        <v>2432</v>
      </c>
      <c r="M320" s="58" t="s">
        <v>3464</v>
      </c>
      <c r="N320" s="56" t="s">
        <v>3465</v>
      </c>
      <c r="O320" s="36" t="s">
        <v>1933</v>
      </c>
      <c r="P320" s="36"/>
      <c r="Q320" s="36"/>
      <c r="R320" s="36"/>
      <c r="S320" s="36"/>
      <c r="T320" s="36"/>
      <c r="U320" s="36"/>
      <c r="V320" s="36" t="s">
        <v>1933</v>
      </c>
      <c r="W320" s="36"/>
      <c r="X320" s="36"/>
      <c r="Y320" s="36"/>
      <c r="Z320" s="32" t="s">
        <v>2295</v>
      </c>
    </row>
    <row r="321" spans="1:26" ht="16.95" customHeight="1" x14ac:dyDescent="0.25">
      <c r="A321" s="38" t="s">
        <v>3466</v>
      </c>
      <c r="B321" s="38">
        <v>6</v>
      </c>
      <c r="C321" s="38" t="s">
        <v>2303</v>
      </c>
      <c r="D321" s="38"/>
      <c r="E321" s="38"/>
      <c r="F321" s="39" t="s">
        <v>2251</v>
      </c>
      <c r="G321" s="38" t="s">
        <v>2289</v>
      </c>
      <c r="H321" s="38" t="s">
        <v>2290</v>
      </c>
      <c r="I321" s="38" t="s">
        <v>2291</v>
      </c>
      <c r="J321" s="38"/>
      <c r="K321" s="59"/>
      <c r="L321" s="60" t="s">
        <v>2292</v>
      </c>
      <c r="M321" s="61" t="s">
        <v>3467</v>
      </c>
      <c r="N321" s="59" t="s">
        <v>3468</v>
      </c>
      <c r="O321" s="38"/>
      <c r="P321" s="38" t="s">
        <v>1933</v>
      </c>
      <c r="Q321" s="38"/>
      <c r="R321" s="38"/>
      <c r="S321" s="38"/>
      <c r="T321" s="38"/>
      <c r="U321" s="38"/>
      <c r="V321" s="38"/>
      <c r="W321" s="38"/>
      <c r="X321" s="38"/>
      <c r="Y321" s="38"/>
      <c r="Z321" s="32" t="s">
        <v>2295</v>
      </c>
    </row>
    <row r="322" spans="1:26" ht="16.95" customHeight="1" x14ac:dyDescent="0.25">
      <c r="A322" s="36" t="s">
        <v>3469</v>
      </c>
      <c r="B322" s="36">
        <v>6</v>
      </c>
      <c r="C322" s="36" t="s">
        <v>2297</v>
      </c>
      <c r="D322" s="36"/>
      <c r="E322" s="36"/>
      <c r="F322" s="37" t="s">
        <v>2251</v>
      </c>
      <c r="G322" s="36" t="s">
        <v>2289</v>
      </c>
      <c r="H322" s="36" t="s">
        <v>2290</v>
      </c>
      <c r="I322" s="36" t="s">
        <v>2291</v>
      </c>
      <c r="J322" s="36"/>
      <c r="K322" s="56"/>
      <c r="L322" s="57" t="s">
        <v>2292</v>
      </c>
      <c r="M322" s="58" t="s">
        <v>3470</v>
      </c>
      <c r="N322" s="56" t="s">
        <v>3471</v>
      </c>
      <c r="O322" s="36"/>
      <c r="P322" s="36" t="s">
        <v>1933</v>
      </c>
      <c r="Q322" s="36" t="s">
        <v>1933</v>
      </c>
      <c r="R322" s="36"/>
      <c r="S322" s="36"/>
      <c r="T322" s="36"/>
      <c r="U322" s="36"/>
      <c r="V322" s="36"/>
      <c r="W322" s="36"/>
      <c r="X322" s="36"/>
      <c r="Y322" s="36"/>
      <c r="Z322" s="32" t="s">
        <v>2295</v>
      </c>
    </row>
    <row r="323" spans="1:26" ht="16.95" customHeight="1" x14ac:dyDescent="0.25">
      <c r="A323" s="48" t="s">
        <v>3472</v>
      </c>
      <c r="B323" s="48">
        <v>6</v>
      </c>
      <c r="C323" s="48" t="s">
        <v>2342</v>
      </c>
      <c r="D323" s="48"/>
      <c r="E323" s="48"/>
      <c r="F323" s="49" t="s">
        <v>2371</v>
      </c>
      <c r="G323" s="48" t="s">
        <v>2298</v>
      </c>
      <c r="H323" s="48" t="s">
        <v>2290</v>
      </c>
      <c r="I323" s="48" t="s">
        <v>2291</v>
      </c>
      <c r="J323" s="48" t="s">
        <v>2310</v>
      </c>
      <c r="K323" s="74" t="s">
        <v>3473</v>
      </c>
      <c r="L323" s="75" t="s">
        <v>2292</v>
      </c>
      <c r="M323" s="76" t="s">
        <v>3474</v>
      </c>
      <c r="N323" s="74" t="s">
        <v>3475</v>
      </c>
      <c r="O323" s="48" t="s">
        <v>1933</v>
      </c>
      <c r="P323" s="48" t="s">
        <v>1933</v>
      </c>
      <c r="Q323" s="48" t="s">
        <v>1933</v>
      </c>
      <c r="R323" s="48"/>
      <c r="S323" s="48"/>
      <c r="T323" s="48"/>
      <c r="U323" s="48"/>
      <c r="V323" s="48"/>
      <c r="W323" s="48"/>
      <c r="X323" s="48"/>
      <c r="Y323" s="48"/>
      <c r="Z323" s="32" t="s">
        <v>2295</v>
      </c>
    </row>
    <row r="324" spans="1:26" ht="16.95" customHeight="1" x14ac:dyDescent="0.25">
      <c r="A324" s="38" t="s">
        <v>3476</v>
      </c>
      <c r="B324" s="38">
        <v>6</v>
      </c>
      <c r="C324" s="38" t="s">
        <v>2303</v>
      </c>
      <c r="D324" s="38"/>
      <c r="E324" s="38"/>
      <c r="F324" s="39" t="s">
        <v>2343</v>
      </c>
      <c r="G324" s="38" t="s">
        <v>2298</v>
      </c>
      <c r="H324" s="38" t="s">
        <v>2290</v>
      </c>
      <c r="I324" s="38" t="s">
        <v>2291</v>
      </c>
      <c r="J324" s="38" t="s">
        <v>2310</v>
      </c>
      <c r="K324" s="59" t="s">
        <v>3477</v>
      </c>
      <c r="L324" s="60" t="s">
        <v>2673</v>
      </c>
      <c r="M324" s="61" t="s">
        <v>3478</v>
      </c>
      <c r="N324" s="59" t="s">
        <v>3479</v>
      </c>
      <c r="O324" s="38"/>
      <c r="P324" s="38"/>
      <c r="Q324" s="38"/>
      <c r="R324" s="38"/>
      <c r="S324" s="38"/>
      <c r="T324" s="38"/>
      <c r="U324" s="38"/>
      <c r="V324" s="38" t="s">
        <v>1933</v>
      </c>
      <c r="W324" s="38"/>
      <c r="X324" s="38"/>
      <c r="Y324" s="38"/>
      <c r="Z324" s="32" t="s">
        <v>2295</v>
      </c>
    </row>
    <row r="325" spans="1:26" ht="16.95" customHeight="1" x14ac:dyDescent="0.25">
      <c r="A325" s="44" t="s">
        <v>3480</v>
      </c>
      <c r="B325" s="44">
        <v>6</v>
      </c>
      <c r="C325" s="44" t="s">
        <v>2328</v>
      </c>
      <c r="D325" s="44"/>
      <c r="E325" s="44"/>
      <c r="F325" s="45" t="s">
        <v>2251</v>
      </c>
      <c r="G325" s="44" t="s">
        <v>2289</v>
      </c>
      <c r="H325" s="44" t="s">
        <v>2290</v>
      </c>
      <c r="I325" s="44"/>
      <c r="J325" s="44" t="s">
        <v>2310</v>
      </c>
      <c r="K325" s="68" t="s">
        <v>3481</v>
      </c>
      <c r="L325" s="69" t="s">
        <v>2432</v>
      </c>
      <c r="M325" s="70" t="s">
        <v>3482</v>
      </c>
      <c r="N325" s="68" t="s">
        <v>3483</v>
      </c>
      <c r="O325" s="44" t="s">
        <v>1933</v>
      </c>
      <c r="P325" s="44"/>
      <c r="Q325" s="44"/>
      <c r="R325" s="44"/>
      <c r="S325" s="44"/>
      <c r="T325" s="44" t="s">
        <v>1933</v>
      </c>
      <c r="U325" s="44"/>
      <c r="V325" s="44" t="s">
        <v>1933</v>
      </c>
      <c r="W325" s="44"/>
      <c r="X325" s="44"/>
      <c r="Y325" s="44"/>
      <c r="Z325" s="32" t="s">
        <v>2295</v>
      </c>
    </row>
    <row r="326" spans="1:26" ht="16.95" customHeight="1" x14ac:dyDescent="0.25">
      <c r="A326" s="42" t="s">
        <v>3484</v>
      </c>
      <c r="B326" s="42">
        <v>6</v>
      </c>
      <c r="C326" s="42" t="s">
        <v>2315</v>
      </c>
      <c r="D326" s="42"/>
      <c r="E326" s="42" t="s">
        <v>1933</v>
      </c>
      <c r="F326" s="43" t="s">
        <v>2251</v>
      </c>
      <c r="G326" s="42" t="s">
        <v>2309</v>
      </c>
      <c r="H326" s="42" t="s">
        <v>2290</v>
      </c>
      <c r="I326" s="42" t="s">
        <v>2291</v>
      </c>
      <c r="J326" s="42" t="s">
        <v>2310</v>
      </c>
      <c r="K326" s="65" t="s">
        <v>3485</v>
      </c>
      <c r="L326" s="66" t="s">
        <v>3486</v>
      </c>
      <c r="M326" s="67" t="s">
        <v>3487</v>
      </c>
      <c r="N326" s="65" t="s">
        <v>3488</v>
      </c>
      <c r="O326" s="42"/>
      <c r="P326" s="42"/>
      <c r="Q326" s="42" t="s">
        <v>1933</v>
      </c>
      <c r="R326" s="42"/>
      <c r="S326" s="42"/>
      <c r="T326" s="42" t="s">
        <v>1933</v>
      </c>
      <c r="U326" s="42"/>
      <c r="V326" s="42" t="s">
        <v>1933</v>
      </c>
      <c r="W326" s="42"/>
      <c r="X326" s="42"/>
      <c r="Y326" s="42"/>
      <c r="Z326" s="32" t="s">
        <v>2295</v>
      </c>
    </row>
    <row r="327" spans="1:26" ht="16.95" customHeight="1" x14ac:dyDescent="0.25">
      <c r="A327" s="34" t="s">
        <v>3489</v>
      </c>
      <c r="B327" s="34">
        <v>6</v>
      </c>
      <c r="C327" s="34" t="s">
        <v>2288</v>
      </c>
      <c r="D327" s="34"/>
      <c r="E327" s="34"/>
      <c r="F327" s="35" t="s">
        <v>2251</v>
      </c>
      <c r="G327" s="34" t="s">
        <v>3118</v>
      </c>
      <c r="H327" s="34" t="s">
        <v>2290</v>
      </c>
      <c r="I327" s="34" t="s">
        <v>2291</v>
      </c>
      <c r="J327" s="34" t="s">
        <v>2310</v>
      </c>
      <c r="K327" s="53" t="s">
        <v>3490</v>
      </c>
      <c r="L327" s="54" t="s">
        <v>2292</v>
      </c>
      <c r="M327" s="55" t="s">
        <v>3491</v>
      </c>
      <c r="N327" s="53" t="s">
        <v>3492</v>
      </c>
      <c r="O327" s="34"/>
      <c r="P327" s="34"/>
      <c r="Q327" s="34"/>
      <c r="R327" s="34"/>
      <c r="S327" s="34"/>
      <c r="T327" s="34" t="s">
        <v>1933</v>
      </c>
      <c r="U327" s="34"/>
      <c r="V327" s="34" t="s">
        <v>1933</v>
      </c>
      <c r="W327" s="34"/>
      <c r="X327" s="34"/>
      <c r="Y327" s="34"/>
      <c r="Z327" s="32" t="s">
        <v>2295</v>
      </c>
    </row>
    <row r="328" spans="1:26" ht="16.95" customHeight="1" x14ac:dyDescent="0.25">
      <c r="A328" s="44" t="s">
        <v>3493</v>
      </c>
      <c r="B328" s="44">
        <v>6</v>
      </c>
      <c r="C328" s="44" t="s">
        <v>2328</v>
      </c>
      <c r="D328" s="44"/>
      <c r="E328" s="44" t="s">
        <v>1933</v>
      </c>
      <c r="F328" s="45" t="s">
        <v>2251</v>
      </c>
      <c r="G328" s="44" t="s">
        <v>2018</v>
      </c>
      <c r="H328" s="44" t="s">
        <v>2290</v>
      </c>
      <c r="I328" s="44"/>
      <c r="J328" s="44"/>
      <c r="K328" s="68"/>
      <c r="L328" s="69" t="s">
        <v>2299</v>
      </c>
      <c r="M328" s="70" t="s">
        <v>3494</v>
      </c>
      <c r="N328" s="68" t="s">
        <v>3495</v>
      </c>
      <c r="O328" s="44" t="s">
        <v>1933</v>
      </c>
      <c r="P328" s="44"/>
      <c r="Q328" s="44"/>
      <c r="R328" s="44"/>
      <c r="S328" s="44"/>
      <c r="T328" s="44"/>
      <c r="U328" s="44"/>
      <c r="V328" s="44" t="s">
        <v>1933</v>
      </c>
      <c r="W328" s="44"/>
      <c r="X328" s="44"/>
      <c r="Y328" s="44"/>
      <c r="Z328" s="32" t="s">
        <v>2295</v>
      </c>
    </row>
    <row r="329" spans="1:26" ht="16.95" customHeight="1" x14ac:dyDescent="0.25">
      <c r="A329" s="48" t="s">
        <v>3496</v>
      </c>
      <c r="B329" s="48">
        <v>6</v>
      </c>
      <c r="C329" s="48" t="s">
        <v>2342</v>
      </c>
      <c r="D329" s="48"/>
      <c r="E329" s="48"/>
      <c r="F329" s="49" t="s">
        <v>2371</v>
      </c>
      <c r="G329" s="48" t="s">
        <v>2289</v>
      </c>
      <c r="H329" s="48" t="s">
        <v>2290</v>
      </c>
      <c r="I329" s="48" t="s">
        <v>2291</v>
      </c>
      <c r="J329" s="48"/>
      <c r="K329" s="74"/>
      <c r="L329" s="75" t="s">
        <v>2292</v>
      </c>
      <c r="M329" s="76" t="s">
        <v>3497</v>
      </c>
      <c r="N329" s="74" t="s">
        <v>3498</v>
      </c>
      <c r="O329" s="48"/>
      <c r="P329" s="48" t="s">
        <v>1933</v>
      </c>
      <c r="Q329" s="48"/>
      <c r="R329" s="48"/>
      <c r="S329" s="48"/>
      <c r="T329" s="48"/>
      <c r="U329" s="48"/>
      <c r="V329" s="48"/>
      <c r="W329" s="48"/>
      <c r="X329" s="48"/>
      <c r="Y329" s="48"/>
      <c r="Z329" s="32" t="s">
        <v>2295</v>
      </c>
    </row>
    <row r="330" spans="1:26" ht="16.95" customHeight="1" x14ac:dyDescent="0.25">
      <c r="A330" s="40" t="s">
        <v>3499</v>
      </c>
      <c r="B330" s="40">
        <v>6</v>
      </c>
      <c r="C330" s="40" t="s">
        <v>2308</v>
      </c>
      <c r="D330" s="40"/>
      <c r="E330" s="40"/>
      <c r="F330" s="41" t="s">
        <v>2251</v>
      </c>
      <c r="G330" s="40" t="s">
        <v>2309</v>
      </c>
      <c r="H330" s="40" t="s">
        <v>2290</v>
      </c>
      <c r="I330" s="40" t="s">
        <v>2291</v>
      </c>
      <c r="J330" s="40" t="s">
        <v>2310</v>
      </c>
      <c r="K330" s="62" t="s">
        <v>3500</v>
      </c>
      <c r="L330" s="63" t="s">
        <v>2705</v>
      </c>
      <c r="M330" s="64" t="s">
        <v>3501</v>
      </c>
      <c r="N330" s="62" t="s">
        <v>3502</v>
      </c>
      <c r="O330" s="40" t="s">
        <v>1933</v>
      </c>
      <c r="P330" s="40"/>
      <c r="Q330" s="40"/>
      <c r="R330" s="40"/>
      <c r="S330" s="40"/>
      <c r="T330" s="40"/>
      <c r="U330" s="40"/>
      <c r="V330" s="40" t="s">
        <v>1933</v>
      </c>
      <c r="W330" s="40"/>
      <c r="X330" s="40"/>
      <c r="Y330" s="40"/>
      <c r="Z330" s="32" t="s">
        <v>2295</v>
      </c>
    </row>
    <row r="331" spans="1:26" ht="16.95" customHeight="1" x14ac:dyDescent="0.25">
      <c r="A331" s="48" t="s">
        <v>3503</v>
      </c>
      <c r="B331" s="48">
        <v>6</v>
      </c>
      <c r="C331" s="48" t="s">
        <v>2342</v>
      </c>
      <c r="D331" s="48"/>
      <c r="E331" s="48" t="s">
        <v>1933</v>
      </c>
      <c r="F331" s="49" t="s">
        <v>2251</v>
      </c>
      <c r="G331" s="48" t="s">
        <v>2457</v>
      </c>
      <c r="H331" s="48" t="s">
        <v>2290</v>
      </c>
      <c r="I331" s="48" t="s">
        <v>2291</v>
      </c>
      <c r="J331" s="48" t="s">
        <v>2310</v>
      </c>
      <c r="K331" s="74" t="s">
        <v>3504</v>
      </c>
      <c r="L331" s="75" t="s">
        <v>2534</v>
      </c>
      <c r="M331" s="76" t="s">
        <v>3505</v>
      </c>
      <c r="N331" s="74" t="s">
        <v>3506</v>
      </c>
      <c r="O331" s="48"/>
      <c r="P331" s="48"/>
      <c r="Q331" s="48"/>
      <c r="R331" s="48"/>
      <c r="S331" s="48"/>
      <c r="T331" s="48"/>
      <c r="U331" s="48" t="s">
        <v>1933</v>
      </c>
      <c r="V331" s="48" t="s">
        <v>1933</v>
      </c>
      <c r="W331" s="48"/>
      <c r="X331" s="48"/>
      <c r="Y331" s="48"/>
      <c r="Z331" s="32" t="s">
        <v>2295</v>
      </c>
    </row>
    <row r="332" spans="1:26" ht="16.95" customHeight="1" x14ac:dyDescent="0.25">
      <c r="A332" s="34" t="s">
        <v>3507</v>
      </c>
      <c r="B332" s="34">
        <v>6</v>
      </c>
      <c r="C332" s="34" t="s">
        <v>2288</v>
      </c>
      <c r="D332" s="34"/>
      <c r="E332" s="34" t="s">
        <v>1933</v>
      </c>
      <c r="F332" s="35" t="s">
        <v>2251</v>
      </c>
      <c r="G332" s="34" t="s">
        <v>2298</v>
      </c>
      <c r="H332" s="34" t="s">
        <v>2290</v>
      </c>
      <c r="I332" s="34" t="s">
        <v>2291</v>
      </c>
      <c r="J332" s="34" t="s">
        <v>2310</v>
      </c>
      <c r="K332" s="53" t="s">
        <v>3508</v>
      </c>
      <c r="L332" s="54" t="s">
        <v>2299</v>
      </c>
      <c r="M332" s="55" t="s">
        <v>3509</v>
      </c>
      <c r="N332" s="53" t="s">
        <v>3510</v>
      </c>
      <c r="O332" s="34"/>
      <c r="P332" s="34" t="s">
        <v>1933</v>
      </c>
      <c r="Q332" s="34" t="s">
        <v>1933</v>
      </c>
      <c r="R332" s="34"/>
      <c r="S332" s="34"/>
      <c r="T332" s="34" t="s">
        <v>1933</v>
      </c>
      <c r="U332" s="34"/>
      <c r="V332" s="34" t="s">
        <v>1933</v>
      </c>
      <c r="W332" s="34"/>
      <c r="X332" s="34"/>
      <c r="Y332" s="34"/>
      <c r="Z332" s="32" t="s">
        <v>2295</v>
      </c>
    </row>
    <row r="333" spans="1:26" ht="16.95" customHeight="1" x14ac:dyDescent="0.25">
      <c r="A333" s="48" t="s">
        <v>3511</v>
      </c>
      <c r="B333" s="48">
        <v>6</v>
      </c>
      <c r="C333" s="48" t="s">
        <v>2342</v>
      </c>
      <c r="D333" s="48"/>
      <c r="E333" s="48"/>
      <c r="F333" s="49" t="s">
        <v>2251</v>
      </c>
      <c r="G333" s="48" t="s">
        <v>3512</v>
      </c>
      <c r="H333" s="48" t="s">
        <v>2290</v>
      </c>
      <c r="I333" s="48" t="s">
        <v>2291</v>
      </c>
      <c r="J333" s="48" t="s">
        <v>2310</v>
      </c>
      <c r="K333" s="74" t="s">
        <v>3513</v>
      </c>
      <c r="L333" s="75" t="s">
        <v>2371</v>
      </c>
      <c r="M333" s="76" t="s">
        <v>3514</v>
      </c>
      <c r="N333" s="74" t="s">
        <v>3515</v>
      </c>
      <c r="O333" s="48"/>
      <c r="P333" s="48"/>
      <c r="Q333" s="48"/>
      <c r="R333" s="48"/>
      <c r="S333" s="48"/>
      <c r="T333" s="48"/>
      <c r="U333" s="48" t="s">
        <v>1933</v>
      </c>
      <c r="V333" s="48" t="s">
        <v>1933</v>
      </c>
      <c r="W333" s="48"/>
      <c r="X333" s="48"/>
      <c r="Y333" s="48"/>
      <c r="Z333" s="32" t="s">
        <v>2295</v>
      </c>
    </row>
    <row r="334" spans="1:26" ht="16.95" customHeight="1" x14ac:dyDescent="0.25">
      <c r="A334" s="48" t="s">
        <v>3516</v>
      </c>
      <c r="B334" s="48">
        <v>6</v>
      </c>
      <c r="C334" s="48" t="s">
        <v>2342</v>
      </c>
      <c r="D334" s="48"/>
      <c r="E334" s="48"/>
      <c r="F334" s="49" t="s">
        <v>2251</v>
      </c>
      <c r="G334" s="48" t="s">
        <v>2329</v>
      </c>
      <c r="H334" s="48" t="s">
        <v>2290</v>
      </c>
      <c r="I334" s="48" t="s">
        <v>2291</v>
      </c>
      <c r="J334" s="48"/>
      <c r="K334" s="74"/>
      <c r="L334" s="75" t="s">
        <v>2343</v>
      </c>
      <c r="M334" s="76" t="s">
        <v>3517</v>
      </c>
      <c r="N334" s="74" t="s">
        <v>3518</v>
      </c>
      <c r="O334" s="48"/>
      <c r="P334" s="48"/>
      <c r="Q334" s="48" t="s">
        <v>1933</v>
      </c>
      <c r="R334" s="48"/>
      <c r="S334" s="48"/>
      <c r="T334" s="48"/>
      <c r="U334" s="48"/>
      <c r="V334" s="48"/>
      <c r="W334" s="48"/>
      <c r="X334" s="48"/>
      <c r="Y334" s="48"/>
      <c r="Z334" s="32" t="s">
        <v>2295</v>
      </c>
    </row>
    <row r="335" spans="1:26" ht="16.95" customHeight="1" x14ac:dyDescent="0.25">
      <c r="A335" s="46" t="s">
        <v>3519</v>
      </c>
      <c r="B335" s="46">
        <v>6</v>
      </c>
      <c r="C335" s="46" t="s">
        <v>2334</v>
      </c>
      <c r="D335" s="46"/>
      <c r="E335" s="46"/>
      <c r="F335" s="47" t="s">
        <v>2251</v>
      </c>
      <c r="G335" s="46" t="s">
        <v>2304</v>
      </c>
      <c r="H335" s="46" t="s">
        <v>2290</v>
      </c>
      <c r="I335" s="46" t="s">
        <v>2291</v>
      </c>
      <c r="J335" s="46" t="s">
        <v>2310</v>
      </c>
      <c r="K335" s="71" t="s">
        <v>3520</v>
      </c>
      <c r="L335" s="72" t="s">
        <v>2338</v>
      </c>
      <c r="M335" s="73" t="s">
        <v>3521</v>
      </c>
      <c r="N335" s="71" t="s">
        <v>3522</v>
      </c>
      <c r="O335" s="46" t="s">
        <v>1933</v>
      </c>
      <c r="P335" s="46" t="s">
        <v>1933</v>
      </c>
      <c r="Q335" s="46"/>
      <c r="R335" s="46"/>
      <c r="S335" s="46"/>
      <c r="T335" s="46" t="s">
        <v>1933</v>
      </c>
      <c r="U335" s="46" t="s">
        <v>1933</v>
      </c>
      <c r="V335" s="46" t="s">
        <v>1933</v>
      </c>
      <c r="W335" s="46"/>
      <c r="X335" s="46"/>
      <c r="Y335" s="46"/>
      <c r="Z335" s="32" t="s">
        <v>2295</v>
      </c>
    </row>
    <row r="336" spans="1:26" ht="16.95" customHeight="1" x14ac:dyDescent="0.25">
      <c r="A336" s="34" t="s">
        <v>3523</v>
      </c>
      <c r="B336" s="34">
        <v>6</v>
      </c>
      <c r="C336" s="34" t="s">
        <v>2288</v>
      </c>
      <c r="D336" s="34"/>
      <c r="E336" s="34" t="s">
        <v>1933</v>
      </c>
      <c r="F336" s="35" t="s">
        <v>2251</v>
      </c>
      <c r="G336" s="34" t="s">
        <v>2309</v>
      </c>
      <c r="H336" s="34" t="s">
        <v>2290</v>
      </c>
      <c r="I336" s="34" t="s">
        <v>2291</v>
      </c>
      <c r="J336" s="34" t="s">
        <v>2310</v>
      </c>
      <c r="K336" s="53" t="s">
        <v>3524</v>
      </c>
      <c r="L336" s="54" t="s">
        <v>2484</v>
      </c>
      <c r="M336" s="55" t="s">
        <v>3525</v>
      </c>
      <c r="N336" s="53" t="s">
        <v>3526</v>
      </c>
      <c r="O336" s="34"/>
      <c r="P336" s="34"/>
      <c r="Q336" s="34"/>
      <c r="R336" s="34"/>
      <c r="S336" s="34"/>
      <c r="T336" s="34"/>
      <c r="U336" s="34"/>
      <c r="V336" s="34" t="s">
        <v>1933</v>
      </c>
      <c r="W336" s="34"/>
      <c r="X336" s="34"/>
      <c r="Y336" s="34"/>
      <c r="Z336" s="32" t="s">
        <v>2295</v>
      </c>
    </row>
    <row r="337" spans="1:26" ht="16.95" customHeight="1" x14ac:dyDescent="0.25">
      <c r="A337" s="48" t="s">
        <v>3527</v>
      </c>
      <c r="B337" s="48">
        <v>6</v>
      </c>
      <c r="C337" s="48" t="s">
        <v>2342</v>
      </c>
      <c r="D337" s="48"/>
      <c r="E337" s="48" t="s">
        <v>1933</v>
      </c>
      <c r="F337" s="49" t="s">
        <v>2251</v>
      </c>
      <c r="G337" s="48" t="s">
        <v>2309</v>
      </c>
      <c r="H337" s="48" t="s">
        <v>2290</v>
      </c>
      <c r="I337" s="48" t="s">
        <v>2291</v>
      </c>
      <c r="J337" s="48" t="s">
        <v>2310</v>
      </c>
      <c r="K337" s="74" t="s">
        <v>3528</v>
      </c>
      <c r="L337" s="75" t="s">
        <v>2484</v>
      </c>
      <c r="M337" s="76" t="s">
        <v>3529</v>
      </c>
      <c r="N337" s="74" t="s">
        <v>3530</v>
      </c>
      <c r="O337" s="48"/>
      <c r="P337" s="48"/>
      <c r="Q337" s="48" t="s">
        <v>1933</v>
      </c>
      <c r="R337" s="48"/>
      <c r="S337" s="48"/>
      <c r="T337" s="48"/>
      <c r="U337" s="48"/>
      <c r="V337" s="48"/>
      <c r="W337" s="48"/>
      <c r="X337" s="48"/>
      <c r="Y337" s="48"/>
      <c r="Z337" s="32" t="s">
        <v>2295</v>
      </c>
    </row>
    <row r="338" spans="1:26" ht="16.95" customHeight="1" x14ac:dyDescent="0.25">
      <c r="A338" s="42" t="s">
        <v>3531</v>
      </c>
      <c r="B338" s="42">
        <v>6</v>
      </c>
      <c r="C338" s="42" t="s">
        <v>2315</v>
      </c>
      <c r="D338" s="42"/>
      <c r="E338" s="42"/>
      <c r="F338" s="43" t="s">
        <v>2343</v>
      </c>
      <c r="G338" s="42" t="s">
        <v>2018</v>
      </c>
      <c r="H338" s="42" t="s">
        <v>2290</v>
      </c>
      <c r="I338" s="42" t="s">
        <v>2291</v>
      </c>
      <c r="J338" s="42" t="s">
        <v>2310</v>
      </c>
      <c r="K338" s="65" t="s">
        <v>3532</v>
      </c>
      <c r="L338" s="66" t="s">
        <v>2427</v>
      </c>
      <c r="M338" s="67" t="s">
        <v>3533</v>
      </c>
      <c r="N338" s="65" t="s">
        <v>3534</v>
      </c>
      <c r="O338" s="42"/>
      <c r="P338" s="42"/>
      <c r="Q338" s="42" t="s">
        <v>1933</v>
      </c>
      <c r="R338" s="42"/>
      <c r="S338" s="42"/>
      <c r="T338" s="42"/>
      <c r="U338" s="42"/>
      <c r="V338" s="42"/>
      <c r="W338" s="42"/>
      <c r="X338" s="42"/>
      <c r="Y338" s="42"/>
      <c r="Z338" s="32" t="s">
        <v>2295</v>
      </c>
    </row>
    <row r="339" spans="1:26" ht="16.95" customHeight="1" x14ac:dyDescent="0.25">
      <c r="A339" s="48" t="s">
        <v>3535</v>
      </c>
      <c r="B339" s="48">
        <v>6</v>
      </c>
      <c r="C339" s="48" t="s">
        <v>2342</v>
      </c>
      <c r="D339" s="48"/>
      <c r="E339" s="48"/>
      <c r="F339" s="49" t="s">
        <v>2251</v>
      </c>
      <c r="G339" s="48" t="s">
        <v>3512</v>
      </c>
      <c r="H339" s="48" t="s">
        <v>2290</v>
      </c>
      <c r="I339" s="48"/>
      <c r="J339" s="48"/>
      <c r="K339" s="74"/>
      <c r="L339" s="75" t="s">
        <v>2292</v>
      </c>
      <c r="M339" s="76" t="s">
        <v>3536</v>
      </c>
      <c r="N339" s="74" t="s">
        <v>3537</v>
      </c>
      <c r="O339" s="48"/>
      <c r="P339" s="48" t="s">
        <v>1933</v>
      </c>
      <c r="Q339" s="48"/>
      <c r="R339" s="48"/>
      <c r="S339" s="48"/>
      <c r="T339" s="48"/>
      <c r="U339" s="48"/>
      <c r="V339" s="48"/>
      <c r="W339" s="48"/>
      <c r="X339" s="48"/>
      <c r="Y339" s="48"/>
      <c r="Z339" s="32" t="s">
        <v>2295</v>
      </c>
    </row>
    <row r="340" spans="1:26" ht="16.95" customHeight="1" x14ac:dyDescent="0.25">
      <c r="A340" s="48" t="s">
        <v>3538</v>
      </c>
      <c r="B340" s="48">
        <v>7</v>
      </c>
      <c r="C340" s="48" t="s">
        <v>2342</v>
      </c>
      <c r="D340" s="48"/>
      <c r="E340" s="48" t="s">
        <v>1933</v>
      </c>
      <c r="F340" s="49" t="s">
        <v>2251</v>
      </c>
      <c r="G340" s="48" t="s">
        <v>2457</v>
      </c>
      <c r="H340" s="48" t="s">
        <v>2290</v>
      </c>
      <c r="I340" s="48" t="s">
        <v>2291</v>
      </c>
      <c r="J340" s="48"/>
      <c r="K340" s="74"/>
      <c r="L340" s="75" t="s">
        <v>2484</v>
      </c>
      <c r="M340" s="76" t="s">
        <v>3539</v>
      </c>
      <c r="N340" s="74" t="s">
        <v>3540</v>
      </c>
      <c r="O340" s="48"/>
      <c r="P340" s="48" t="s">
        <v>1933</v>
      </c>
      <c r="Q340" s="48"/>
      <c r="R340" s="48"/>
      <c r="S340" s="48"/>
      <c r="T340" s="48"/>
      <c r="U340" s="48"/>
      <c r="V340" s="48"/>
      <c r="W340" s="48"/>
      <c r="X340" s="48"/>
      <c r="Y340" s="48"/>
      <c r="Z340" s="32" t="s">
        <v>2295</v>
      </c>
    </row>
    <row r="341" spans="1:26" ht="16.95" customHeight="1" x14ac:dyDescent="0.25">
      <c r="A341" s="34" t="s">
        <v>3541</v>
      </c>
      <c r="B341" s="34">
        <v>7</v>
      </c>
      <c r="C341" s="34" t="s">
        <v>2288</v>
      </c>
      <c r="D341" s="34"/>
      <c r="E341" s="34" t="s">
        <v>1933</v>
      </c>
      <c r="F341" s="35" t="s">
        <v>2251</v>
      </c>
      <c r="G341" s="34" t="s">
        <v>2865</v>
      </c>
      <c r="H341" s="34" t="s">
        <v>2290</v>
      </c>
      <c r="I341" s="34" t="s">
        <v>2291</v>
      </c>
      <c r="J341" s="34" t="s">
        <v>2310</v>
      </c>
      <c r="K341" s="53" t="s">
        <v>2954</v>
      </c>
      <c r="L341" s="54" t="s">
        <v>2299</v>
      </c>
      <c r="M341" s="55" t="s">
        <v>3542</v>
      </c>
      <c r="N341" s="53" t="s">
        <v>3543</v>
      </c>
      <c r="O341" s="34"/>
      <c r="P341" s="34"/>
      <c r="Q341" s="34"/>
      <c r="R341" s="34"/>
      <c r="S341" s="34"/>
      <c r="T341" s="34" t="s">
        <v>1933</v>
      </c>
      <c r="U341" s="34"/>
      <c r="V341" s="34" t="s">
        <v>1933</v>
      </c>
      <c r="W341" s="34"/>
      <c r="X341" s="34"/>
      <c r="Y341" s="34"/>
      <c r="Z341" s="32" t="s">
        <v>2295</v>
      </c>
    </row>
    <row r="342" spans="1:26" ht="16.95" customHeight="1" x14ac:dyDescent="0.25">
      <c r="A342" s="34" t="s">
        <v>3544</v>
      </c>
      <c r="B342" s="34">
        <v>7</v>
      </c>
      <c r="C342" s="34" t="s">
        <v>2288</v>
      </c>
      <c r="D342" s="34"/>
      <c r="E342" s="34"/>
      <c r="F342" s="35" t="s">
        <v>2370</v>
      </c>
      <c r="G342" s="34" t="s">
        <v>2018</v>
      </c>
      <c r="H342" s="34" t="s">
        <v>2290</v>
      </c>
      <c r="I342" s="34"/>
      <c r="J342" s="34"/>
      <c r="K342" s="53"/>
      <c r="L342" s="54" t="s">
        <v>2292</v>
      </c>
      <c r="M342" s="55" t="s">
        <v>3545</v>
      </c>
      <c r="N342" s="53" t="s">
        <v>3546</v>
      </c>
      <c r="O342" s="34"/>
      <c r="P342" s="34" t="s">
        <v>1933</v>
      </c>
      <c r="Q342" s="34"/>
      <c r="R342" s="34"/>
      <c r="S342" s="34"/>
      <c r="T342" s="34"/>
      <c r="U342" s="34"/>
      <c r="V342" s="34"/>
      <c r="W342" s="34"/>
      <c r="X342" s="34"/>
      <c r="Y342" s="34"/>
      <c r="Z342" s="32" t="s">
        <v>2295</v>
      </c>
    </row>
    <row r="343" spans="1:26" ht="16.95" customHeight="1" x14ac:dyDescent="0.25">
      <c r="A343" s="48" t="s">
        <v>3547</v>
      </c>
      <c r="B343" s="48">
        <v>7</v>
      </c>
      <c r="C343" s="48" t="s">
        <v>2342</v>
      </c>
      <c r="D343" s="48"/>
      <c r="E343" s="48"/>
      <c r="F343" s="49" t="s">
        <v>2251</v>
      </c>
      <c r="G343" s="48" t="s">
        <v>2298</v>
      </c>
      <c r="H343" s="48" t="s">
        <v>2290</v>
      </c>
      <c r="I343" s="48" t="s">
        <v>2291</v>
      </c>
      <c r="J343" s="48"/>
      <c r="K343" s="74"/>
      <c r="L343" s="75" t="s">
        <v>3548</v>
      </c>
      <c r="M343" s="76" t="s">
        <v>3549</v>
      </c>
      <c r="N343" s="74" t="s">
        <v>3550</v>
      </c>
      <c r="O343" s="48" t="s">
        <v>1933</v>
      </c>
      <c r="P343" s="48" t="s">
        <v>1933</v>
      </c>
      <c r="Q343" s="48"/>
      <c r="R343" s="48"/>
      <c r="S343" s="48"/>
      <c r="T343" s="48" t="s">
        <v>1933</v>
      </c>
      <c r="U343" s="48" t="s">
        <v>1933</v>
      </c>
      <c r="V343" s="48" t="s">
        <v>1933</v>
      </c>
      <c r="W343" s="48"/>
      <c r="X343" s="48"/>
      <c r="Y343" s="48"/>
      <c r="Z343" s="32" t="s">
        <v>2295</v>
      </c>
    </row>
    <row r="344" spans="1:26" ht="16.95" customHeight="1" x14ac:dyDescent="0.25">
      <c r="A344" s="38" t="s">
        <v>3551</v>
      </c>
      <c r="B344" s="38">
        <v>7</v>
      </c>
      <c r="C344" s="38" t="s">
        <v>2303</v>
      </c>
      <c r="D344" s="38"/>
      <c r="E344" s="38"/>
      <c r="F344" s="39" t="s">
        <v>2251</v>
      </c>
      <c r="G344" s="38" t="s">
        <v>2289</v>
      </c>
      <c r="H344" s="38" t="s">
        <v>2290</v>
      </c>
      <c r="I344" s="38" t="s">
        <v>2291</v>
      </c>
      <c r="J344" s="38"/>
      <c r="K344" s="59"/>
      <c r="L344" s="60" t="s">
        <v>2292</v>
      </c>
      <c r="M344" s="61" t="s">
        <v>3552</v>
      </c>
      <c r="N344" s="59" t="s">
        <v>3553</v>
      </c>
      <c r="O344" s="38"/>
      <c r="P344" s="38"/>
      <c r="Q344" s="38"/>
      <c r="R344" s="38"/>
      <c r="S344" s="38"/>
      <c r="T344" s="38" t="s">
        <v>1933</v>
      </c>
      <c r="U344" s="38" t="s">
        <v>1933</v>
      </c>
      <c r="V344" s="38" t="s">
        <v>1933</v>
      </c>
      <c r="W344" s="38"/>
      <c r="X344" s="38"/>
      <c r="Y344" s="38"/>
      <c r="Z344" s="32" t="s">
        <v>2295</v>
      </c>
    </row>
    <row r="345" spans="1:26" ht="16.95" customHeight="1" x14ac:dyDescent="0.25">
      <c r="A345" s="34" t="s">
        <v>3554</v>
      </c>
      <c r="B345" s="34">
        <v>7</v>
      </c>
      <c r="C345" s="34" t="s">
        <v>2288</v>
      </c>
      <c r="D345" s="34"/>
      <c r="E345" s="34"/>
      <c r="F345" s="35" t="s">
        <v>2251</v>
      </c>
      <c r="G345" s="34" t="s">
        <v>2865</v>
      </c>
      <c r="H345" s="34" t="s">
        <v>2290</v>
      </c>
      <c r="I345" s="34" t="s">
        <v>2291</v>
      </c>
      <c r="J345" s="34"/>
      <c r="K345" s="53"/>
      <c r="L345" s="54" t="s">
        <v>2292</v>
      </c>
      <c r="M345" s="55" t="s">
        <v>3555</v>
      </c>
      <c r="N345" s="53" t="s">
        <v>3556</v>
      </c>
      <c r="O345" s="34"/>
      <c r="P345" s="34" t="s">
        <v>1933</v>
      </c>
      <c r="Q345" s="34" t="s">
        <v>1933</v>
      </c>
      <c r="R345" s="34"/>
      <c r="S345" s="34"/>
      <c r="T345" s="34" t="s">
        <v>1933</v>
      </c>
      <c r="U345" s="34"/>
      <c r="V345" s="34"/>
      <c r="W345" s="34"/>
      <c r="X345" s="34"/>
      <c r="Y345" s="34"/>
      <c r="Z345" s="32" t="s">
        <v>2295</v>
      </c>
    </row>
    <row r="346" spans="1:26" ht="16.95" customHeight="1" x14ac:dyDescent="0.25">
      <c r="A346" s="34" t="s">
        <v>3557</v>
      </c>
      <c r="B346" s="34">
        <v>7</v>
      </c>
      <c r="C346" s="34" t="s">
        <v>2288</v>
      </c>
      <c r="D346" s="34"/>
      <c r="E346" s="34" t="s">
        <v>1933</v>
      </c>
      <c r="F346" s="35" t="s">
        <v>2251</v>
      </c>
      <c r="G346" s="34" t="s">
        <v>3558</v>
      </c>
      <c r="H346" s="34" t="s">
        <v>2290</v>
      </c>
      <c r="I346" s="34" t="s">
        <v>2291</v>
      </c>
      <c r="J346" s="34" t="s">
        <v>2310</v>
      </c>
      <c r="K346" s="53" t="s">
        <v>3559</v>
      </c>
      <c r="L346" s="54" t="s">
        <v>2534</v>
      </c>
      <c r="M346" s="55" t="s">
        <v>3560</v>
      </c>
      <c r="N346" s="53" t="s">
        <v>3561</v>
      </c>
      <c r="O346" s="34" t="s">
        <v>1933</v>
      </c>
      <c r="P346" s="34"/>
      <c r="Q346" s="34"/>
      <c r="R346" s="34"/>
      <c r="S346" s="34"/>
      <c r="T346" s="34"/>
      <c r="U346" s="34" t="s">
        <v>1933</v>
      </c>
      <c r="V346" s="34" t="s">
        <v>1933</v>
      </c>
      <c r="W346" s="34"/>
      <c r="X346" s="34"/>
      <c r="Y346" s="34"/>
      <c r="Z346" s="32" t="s">
        <v>2295</v>
      </c>
    </row>
    <row r="347" spans="1:26" ht="16.95" customHeight="1" x14ac:dyDescent="0.25">
      <c r="A347" s="40" t="s">
        <v>3562</v>
      </c>
      <c r="B347" s="40">
        <v>7</v>
      </c>
      <c r="C347" s="40" t="s">
        <v>2308</v>
      </c>
      <c r="D347" s="40"/>
      <c r="E347" s="40"/>
      <c r="F347" s="41" t="s">
        <v>2371</v>
      </c>
      <c r="G347" s="40" t="s">
        <v>3563</v>
      </c>
      <c r="H347" s="40" t="s">
        <v>2290</v>
      </c>
      <c r="I347" s="40" t="s">
        <v>2291</v>
      </c>
      <c r="J347" s="40"/>
      <c r="K347" s="62"/>
      <c r="L347" s="63" t="s">
        <v>2579</v>
      </c>
      <c r="M347" s="64" t="s">
        <v>3564</v>
      </c>
      <c r="N347" s="62" t="s">
        <v>3565</v>
      </c>
      <c r="O347" s="40" t="s">
        <v>1933</v>
      </c>
      <c r="P347" s="40"/>
      <c r="Q347" s="40" t="s">
        <v>1933</v>
      </c>
      <c r="R347" s="40"/>
      <c r="S347" s="40"/>
      <c r="T347" s="40"/>
      <c r="U347" s="40"/>
      <c r="V347" s="40" t="s">
        <v>1933</v>
      </c>
      <c r="W347" s="40"/>
      <c r="X347" s="40"/>
      <c r="Y347" s="40"/>
      <c r="Z347" s="32" t="s">
        <v>2295</v>
      </c>
    </row>
    <row r="348" spans="1:26" ht="16.95" customHeight="1" x14ac:dyDescent="0.25">
      <c r="A348" s="48" t="s">
        <v>3566</v>
      </c>
      <c r="B348" s="48">
        <v>7</v>
      </c>
      <c r="C348" s="48" t="s">
        <v>2342</v>
      </c>
      <c r="D348" s="48"/>
      <c r="E348" s="48"/>
      <c r="F348" s="49" t="s">
        <v>2343</v>
      </c>
      <c r="G348" s="48" t="s">
        <v>3118</v>
      </c>
      <c r="H348" s="48" t="s">
        <v>2290</v>
      </c>
      <c r="I348" s="48" t="s">
        <v>2291</v>
      </c>
      <c r="J348" s="48" t="s">
        <v>2310</v>
      </c>
      <c r="K348" s="74" t="s">
        <v>3567</v>
      </c>
      <c r="L348" s="75" t="s">
        <v>2432</v>
      </c>
      <c r="M348" s="76" t="s">
        <v>3568</v>
      </c>
      <c r="N348" s="74" t="s">
        <v>3569</v>
      </c>
      <c r="O348" s="48" t="s">
        <v>1933</v>
      </c>
      <c r="P348" s="48"/>
      <c r="Q348" s="48"/>
      <c r="R348" s="48"/>
      <c r="S348" s="48"/>
      <c r="T348" s="48"/>
      <c r="U348" s="48"/>
      <c r="V348" s="48" t="s">
        <v>1933</v>
      </c>
      <c r="W348" s="48"/>
      <c r="X348" s="48"/>
      <c r="Y348" s="48"/>
      <c r="Z348" s="32" t="s">
        <v>2295</v>
      </c>
    </row>
    <row r="349" spans="1:26" ht="16.95" customHeight="1" x14ac:dyDescent="0.25">
      <c r="A349" s="34" t="s">
        <v>3570</v>
      </c>
      <c r="B349" s="34">
        <v>7</v>
      </c>
      <c r="C349" s="34" t="s">
        <v>2288</v>
      </c>
      <c r="D349" s="34"/>
      <c r="E349" s="34" t="s">
        <v>1933</v>
      </c>
      <c r="F349" s="35" t="s">
        <v>2251</v>
      </c>
      <c r="G349" s="34" t="s">
        <v>2457</v>
      </c>
      <c r="H349" s="34" t="s">
        <v>2290</v>
      </c>
      <c r="I349" s="34" t="s">
        <v>2291</v>
      </c>
      <c r="J349" s="34" t="s">
        <v>2310</v>
      </c>
      <c r="K349" s="53" t="s">
        <v>3571</v>
      </c>
      <c r="L349" s="54" t="s">
        <v>2299</v>
      </c>
      <c r="M349" s="55" t="s">
        <v>3572</v>
      </c>
      <c r="N349" s="53" t="s">
        <v>3573</v>
      </c>
      <c r="O349" s="34" t="s">
        <v>1933</v>
      </c>
      <c r="P349" s="34"/>
      <c r="Q349" s="34"/>
      <c r="R349" s="34"/>
      <c r="S349" s="34"/>
      <c r="T349" s="34"/>
      <c r="U349" s="34"/>
      <c r="V349" s="34" t="s">
        <v>1933</v>
      </c>
      <c r="W349" s="34"/>
      <c r="X349" s="34"/>
      <c r="Y349" s="34"/>
      <c r="Z349" s="32" t="s">
        <v>2295</v>
      </c>
    </row>
    <row r="350" spans="1:26" ht="16.95" customHeight="1" x14ac:dyDescent="0.25">
      <c r="A350" s="48" t="s">
        <v>3574</v>
      </c>
      <c r="B350" s="48">
        <v>7</v>
      </c>
      <c r="C350" s="48" t="s">
        <v>2342</v>
      </c>
      <c r="D350" s="48"/>
      <c r="E350" s="48"/>
      <c r="F350" s="49" t="s">
        <v>2251</v>
      </c>
      <c r="G350" s="48" t="s">
        <v>2304</v>
      </c>
      <c r="H350" s="48" t="s">
        <v>2290</v>
      </c>
      <c r="I350" s="48" t="s">
        <v>2291</v>
      </c>
      <c r="J350" s="48" t="s">
        <v>2310</v>
      </c>
      <c r="K350" s="74" t="s">
        <v>3575</v>
      </c>
      <c r="L350" s="75" t="s">
        <v>2292</v>
      </c>
      <c r="M350" s="76" t="s">
        <v>3576</v>
      </c>
      <c r="N350" s="74" t="s">
        <v>3577</v>
      </c>
      <c r="O350" s="48"/>
      <c r="P350" s="48" t="s">
        <v>1933</v>
      </c>
      <c r="Q350" s="48" t="s">
        <v>1933</v>
      </c>
      <c r="R350" s="48"/>
      <c r="S350" s="48"/>
      <c r="T350" s="48" t="s">
        <v>1933</v>
      </c>
      <c r="U350" s="48" t="s">
        <v>1933</v>
      </c>
      <c r="V350" s="48" t="s">
        <v>1933</v>
      </c>
      <c r="W350" s="48"/>
      <c r="X350" s="48"/>
      <c r="Y350" s="48"/>
      <c r="Z350" s="32" t="s">
        <v>2295</v>
      </c>
    </row>
    <row r="351" spans="1:26" ht="16.95" customHeight="1" x14ac:dyDescent="0.25">
      <c r="A351" s="44" t="s">
        <v>3578</v>
      </c>
      <c r="B351" s="44">
        <v>7</v>
      </c>
      <c r="C351" s="44" t="s">
        <v>2328</v>
      </c>
      <c r="D351" s="44"/>
      <c r="E351" s="44"/>
      <c r="F351" s="45" t="s">
        <v>2251</v>
      </c>
      <c r="G351" s="44" t="s">
        <v>2289</v>
      </c>
      <c r="H351" s="44" t="s">
        <v>2290</v>
      </c>
      <c r="I351" s="44"/>
      <c r="J351" s="44"/>
      <c r="K351" s="68"/>
      <c r="L351" s="69" t="s">
        <v>2292</v>
      </c>
      <c r="M351" s="70" t="s">
        <v>3579</v>
      </c>
      <c r="N351" s="68" t="s">
        <v>3580</v>
      </c>
      <c r="O351" s="44" t="s">
        <v>1933</v>
      </c>
      <c r="P351" s="44" t="s">
        <v>1933</v>
      </c>
      <c r="Q351" s="44"/>
      <c r="R351" s="44"/>
      <c r="S351" s="44"/>
      <c r="T351" s="44"/>
      <c r="U351" s="44"/>
      <c r="V351" s="44"/>
      <c r="W351" s="44"/>
      <c r="X351" s="44"/>
      <c r="Y351" s="44"/>
      <c r="Z351" s="32" t="s">
        <v>2295</v>
      </c>
    </row>
    <row r="352" spans="1:26" ht="16.95" customHeight="1" x14ac:dyDescent="0.25">
      <c r="A352" s="34" t="s">
        <v>3581</v>
      </c>
      <c r="B352" s="34">
        <v>7</v>
      </c>
      <c r="C352" s="34" t="s">
        <v>2288</v>
      </c>
      <c r="D352" s="34"/>
      <c r="E352" s="34"/>
      <c r="F352" s="35" t="s">
        <v>2251</v>
      </c>
      <c r="G352" s="34" t="s">
        <v>2298</v>
      </c>
      <c r="H352" s="34" t="s">
        <v>2290</v>
      </c>
      <c r="I352" s="34" t="s">
        <v>2291</v>
      </c>
      <c r="J352" s="34"/>
      <c r="K352" s="53"/>
      <c r="L352" s="54" t="s">
        <v>2292</v>
      </c>
      <c r="M352" s="55" t="s">
        <v>3582</v>
      </c>
      <c r="N352" s="53" t="s">
        <v>3583</v>
      </c>
      <c r="O352" s="34" t="s">
        <v>1933</v>
      </c>
      <c r="P352" s="34"/>
      <c r="Q352" s="34"/>
      <c r="R352" s="34"/>
      <c r="S352" s="34"/>
      <c r="T352" s="34" t="s">
        <v>1933</v>
      </c>
      <c r="U352" s="34"/>
      <c r="V352" s="34" t="s">
        <v>1933</v>
      </c>
      <c r="W352" s="34"/>
      <c r="X352" s="34"/>
      <c r="Y352" s="34"/>
      <c r="Z352" s="32" t="s">
        <v>2295</v>
      </c>
    </row>
    <row r="353" spans="1:26" ht="16.95" customHeight="1" x14ac:dyDescent="0.25">
      <c r="A353" s="40" t="s">
        <v>3584</v>
      </c>
      <c r="B353" s="40">
        <v>7</v>
      </c>
      <c r="C353" s="40" t="s">
        <v>2308</v>
      </c>
      <c r="D353" s="40"/>
      <c r="E353" s="40" t="s">
        <v>1933</v>
      </c>
      <c r="F353" s="41" t="s">
        <v>2251</v>
      </c>
      <c r="G353" s="40" t="s">
        <v>3585</v>
      </c>
      <c r="H353" s="40" t="s">
        <v>2290</v>
      </c>
      <c r="I353" s="40" t="s">
        <v>2291</v>
      </c>
      <c r="J353" s="40" t="s">
        <v>2310</v>
      </c>
      <c r="K353" s="62" t="s">
        <v>3586</v>
      </c>
      <c r="L353" s="63" t="s">
        <v>3445</v>
      </c>
      <c r="M353" s="64" t="s">
        <v>3587</v>
      </c>
      <c r="N353" s="62" t="s">
        <v>3588</v>
      </c>
      <c r="O353" s="40" t="s">
        <v>1933</v>
      </c>
      <c r="P353" s="40"/>
      <c r="Q353" s="40"/>
      <c r="R353" s="40"/>
      <c r="S353" s="40"/>
      <c r="T353" s="40"/>
      <c r="U353" s="40"/>
      <c r="V353" s="40" t="s">
        <v>1933</v>
      </c>
      <c r="W353" s="40"/>
      <c r="X353" s="40"/>
      <c r="Y353" s="40"/>
      <c r="Z353" s="32" t="s">
        <v>2295</v>
      </c>
    </row>
    <row r="354" spans="1:26" ht="16.95" customHeight="1" x14ac:dyDescent="0.25">
      <c r="A354" s="42" t="s">
        <v>3589</v>
      </c>
      <c r="B354" s="42">
        <v>7</v>
      </c>
      <c r="C354" s="42" t="s">
        <v>2315</v>
      </c>
      <c r="D354" s="42"/>
      <c r="E354" s="42"/>
      <c r="F354" s="43" t="s">
        <v>2343</v>
      </c>
      <c r="G354" s="42" t="s">
        <v>2304</v>
      </c>
      <c r="H354" s="42" t="s">
        <v>2290</v>
      </c>
      <c r="I354" s="42" t="s">
        <v>2291</v>
      </c>
      <c r="J354" s="42" t="s">
        <v>2310</v>
      </c>
      <c r="K354" s="65" t="s">
        <v>3590</v>
      </c>
      <c r="L354" s="66" t="s">
        <v>2338</v>
      </c>
      <c r="M354" s="67" t="s">
        <v>3591</v>
      </c>
      <c r="N354" s="65" t="s">
        <v>3592</v>
      </c>
      <c r="O354" s="42" t="s">
        <v>1933</v>
      </c>
      <c r="P354" s="42" t="s">
        <v>1933</v>
      </c>
      <c r="Q354" s="42" t="s">
        <v>1933</v>
      </c>
      <c r="R354" s="42"/>
      <c r="S354" s="42"/>
      <c r="T354" s="42"/>
      <c r="U354" s="42"/>
      <c r="V354" s="42"/>
      <c r="W354" s="42"/>
      <c r="X354" s="42"/>
      <c r="Y354" s="42"/>
      <c r="Z354" s="32" t="s">
        <v>2295</v>
      </c>
    </row>
    <row r="355" spans="1:26" ht="16.95" customHeight="1" x14ac:dyDescent="0.25">
      <c r="A355" s="38" t="s">
        <v>3593</v>
      </c>
      <c r="B355" s="38">
        <v>7</v>
      </c>
      <c r="C355" s="38" t="s">
        <v>2303</v>
      </c>
      <c r="D355" s="38"/>
      <c r="E355" s="38"/>
      <c r="F355" s="39" t="s">
        <v>2338</v>
      </c>
      <c r="G355" s="38" t="s">
        <v>2304</v>
      </c>
      <c r="H355" s="38" t="s">
        <v>2290</v>
      </c>
      <c r="I355" s="38" t="s">
        <v>2291</v>
      </c>
      <c r="J355" s="38" t="s">
        <v>2310</v>
      </c>
      <c r="K355" s="59" t="s">
        <v>3594</v>
      </c>
      <c r="L355" s="60" t="s">
        <v>2292</v>
      </c>
      <c r="M355" s="61" t="s">
        <v>3595</v>
      </c>
      <c r="N355" s="59" t="s">
        <v>3596</v>
      </c>
      <c r="O355" s="38" t="s">
        <v>1933</v>
      </c>
      <c r="P355" s="38" t="s">
        <v>1933</v>
      </c>
      <c r="Q355" s="38"/>
      <c r="R355" s="38"/>
      <c r="S355" s="38"/>
      <c r="T355" s="38"/>
      <c r="U355" s="38"/>
      <c r="V355" s="38"/>
      <c r="W355" s="38"/>
      <c r="X355" s="38"/>
      <c r="Y355" s="38"/>
      <c r="Z355" s="32" t="s">
        <v>2295</v>
      </c>
    </row>
    <row r="356" spans="1:26" ht="16.95" customHeight="1" x14ac:dyDescent="0.25">
      <c r="A356" s="42" t="s">
        <v>3597</v>
      </c>
      <c r="B356" s="42">
        <v>7</v>
      </c>
      <c r="C356" s="42" t="s">
        <v>2315</v>
      </c>
      <c r="D356" s="42"/>
      <c r="E356" s="42" t="s">
        <v>1933</v>
      </c>
      <c r="F356" s="43" t="s">
        <v>2251</v>
      </c>
      <c r="G356" s="42" t="s">
        <v>3558</v>
      </c>
      <c r="H356" s="42" t="s">
        <v>2290</v>
      </c>
      <c r="I356" s="42" t="s">
        <v>2291</v>
      </c>
      <c r="J356" s="42" t="s">
        <v>2310</v>
      </c>
      <c r="K356" s="65" t="s">
        <v>3598</v>
      </c>
      <c r="L356" s="66" t="s">
        <v>2299</v>
      </c>
      <c r="M356" s="67" t="s">
        <v>3599</v>
      </c>
      <c r="N356" s="65" t="s">
        <v>3600</v>
      </c>
      <c r="O356" s="42"/>
      <c r="P356" s="42"/>
      <c r="Q356" s="42" t="s">
        <v>1933</v>
      </c>
      <c r="R356" s="42"/>
      <c r="S356" s="42"/>
      <c r="T356" s="42" t="s">
        <v>1933</v>
      </c>
      <c r="U356" s="42"/>
      <c r="V356" s="42" t="s">
        <v>1933</v>
      </c>
      <c r="W356" s="42"/>
      <c r="X356" s="42"/>
      <c r="Y356" s="42"/>
      <c r="Z356" s="32" t="s">
        <v>2295</v>
      </c>
    </row>
    <row r="357" spans="1:26" ht="16.95" customHeight="1" x14ac:dyDescent="0.25">
      <c r="A357" s="42" t="s">
        <v>3601</v>
      </c>
      <c r="B357" s="42">
        <v>7</v>
      </c>
      <c r="C357" s="42" t="s">
        <v>2315</v>
      </c>
      <c r="D357" s="42"/>
      <c r="E357" s="42"/>
      <c r="F357" s="43" t="s">
        <v>2251</v>
      </c>
      <c r="G357" s="42" t="s">
        <v>2304</v>
      </c>
      <c r="H357" s="42" t="s">
        <v>2290</v>
      </c>
      <c r="I357" s="42" t="s">
        <v>2291</v>
      </c>
      <c r="J357" s="42" t="s">
        <v>2310</v>
      </c>
      <c r="K357" s="65" t="s">
        <v>3602</v>
      </c>
      <c r="L357" s="66" t="s">
        <v>2705</v>
      </c>
      <c r="M357" s="67" t="s">
        <v>3603</v>
      </c>
      <c r="N357" s="65" t="s">
        <v>3604</v>
      </c>
      <c r="O357" s="42"/>
      <c r="P357" s="42"/>
      <c r="Q357" s="42"/>
      <c r="R357" s="42"/>
      <c r="S357" s="42"/>
      <c r="T357" s="42"/>
      <c r="U357" s="42"/>
      <c r="V357" s="42" t="s">
        <v>1933</v>
      </c>
      <c r="W357" s="42"/>
      <c r="X357" s="42"/>
      <c r="Y357" s="42"/>
      <c r="Z357" s="32" t="s">
        <v>2295</v>
      </c>
    </row>
    <row r="358" spans="1:26" ht="16.95" customHeight="1" x14ac:dyDescent="0.25">
      <c r="A358" s="40" t="s">
        <v>3605</v>
      </c>
      <c r="B358" s="40">
        <v>7</v>
      </c>
      <c r="C358" s="40" t="s">
        <v>2308</v>
      </c>
      <c r="D358" s="40"/>
      <c r="E358" s="40"/>
      <c r="F358" s="41" t="s">
        <v>3606</v>
      </c>
      <c r="G358" s="40" t="s">
        <v>2304</v>
      </c>
      <c r="H358" s="40" t="s">
        <v>2290</v>
      </c>
      <c r="I358" s="40" t="s">
        <v>2291</v>
      </c>
      <c r="J358" s="40" t="s">
        <v>2310</v>
      </c>
      <c r="K358" s="62" t="s">
        <v>3607</v>
      </c>
      <c r="L358" s="63" t="s">
        <v>2705</v>
      </c>
      <c r="M358" s="64" t="s">
        <v>3608</v>
      </c>
      <c r="N358" s="62" t="s">
        <v>3609</v>
      </c>
      <c r="O358" s="40"/>
      <c r="P358" s="40"/>
      <c r="Q358" s="40"/>
      <c r="R358" s="40"/>
      <c r="S358" s="40"/>
      <c r="T358" s="40"/>
      <c r="U358" s="40"/>
      <c r="V358" s="40" t="s">
        <v>1933</v>
      </c>
      <c r="W358" s="40"/>
      <c r="X358" s="40"/>
      <c r="Y358" s="40"/>
      <c r="Z358" s="32" t="s">
        <v>2295</v>
      </c>
    </row>
    <row r="359" spans="1:26" ht="16.95" customHeight="1" x14ac:dyDescent="0.25">
      <c r="A359" s="36" t="s">
        <v>3610</v>
      </c>
      <c r="B359" s="36">
        <v>7</v>
      </c>
      <c r="C359" s="36" t="s">
        <v>2297</v>
      </c>
      <c r="D359" s="36"/>
      <c r="E359" s="36"/>
      <c r="F359" s="37" t="s">
        <v>2343</v>
      </c>
      <c r="G359" s="36" t="s">
        <v>2304</v>
      </c>
      <c r="H359" s="36" t="s">
        <v>2290</v>
      </c>
      <c r="I359" s="36" t="s">
        <v>2291</v>
      </c>
      <c r="J359" s="36" t="s">
        <v>2310</v>
      </c>
      <c r="K359" s="56" t="s">
        <v>3611</v>
      </c>
      <c r="L359" s="57" t="s">
        <v>3612</v>
      </c>
      <c r="M359" s="58" t="s">
        <v>3613</v>
      </c>
      <c r="N359" s="56" t="s">
        <v>3614</v>
      </c>
      <c r="O359" s="36" t="s">
        <v>1933</v>
      </c>
      <c r="P359" s="36" t="s">
        <v>1933</v>
      </c>
      <c r="Q359" s="36" t="s">
        <v>1933</v>
      </c>
      <c r="R359" s="36"/>
      <c r="S359" s="36"/>
      <c r="T359" s="36"/>
      <c r="U359" s="36"/>
      <c r="V359" s="36" t="s">
        <v>1933</v>
      </c>
      <c r="W359" s="36"/>
      <c r="X359" s="36"/>
      <c r="Y359" s="36"/>
      <c r="Z359" s="32" t="s">
        <v>2295</v>
      </c>
    </row>
    <row r="360" spans="1:26" ht="16.95" customHeight="1" x14ac:dyDescent="0.25">
      <c r="A360" s="48" t="s">
        <v>3615</v>
      </c>
      <c r="B360" s="48">
        <v>7</v>
      </c>
      <c r="C360" s="48" t="s">
        <v>2342</v>
      </c>
      <c r="D360" s="48"/>
      <c r="E360" s="48"/>
      <c r="F360" s="49" t="s">
        <v>2251</v>
      </c>
      <c r="G360" s="48" t="s">
        <v>2329</v>
      </c>
      <c r="H360" s="48" t="s">
        <v>2290</v>
      </c>
      <c r="I360" s="48"/>
      <c r="J360" s="48"/>
      <c r="K360" s="74"/>
      <c r="L360" s="75" t="s">
        <v>2292</v>
      </c>
      <c r="M360" s="76" t="s">
        <v>3616</v>
      </c>
      <c r="N360" s="74" t="s">
        <v>3617</v>
      </c>
      <c r="O360" s="48" t="s">
        <v>1933</v>
      </c>
      <c r="P360" s="48"/>
      <c r="Q360" s="48"/>
      <c r="R360" s="48"/>
      <c r="S360" s="48"/>
      <c r="T360" s="48" t="s">
        <v>1933</v>
      </c>
      <c r="U360" s="48"/>
      <c r="V360" s="48" t="s">
        <v>1933</v>
      </c>
      <c r="W360" s="48"/>
      <c r="X360" s="48"/>
      <c r="Y360" s="48"/>
      <c r="Z360" s="32" t="s">
        <v>2295</v>
      </c>
    </row>
    <row r="361" spans="1:26" ht="16.95" customHeight="1" x14ac:dyDescent="0.25">
      <c r="A361" s="42" t="s">
        <v>3618</v>
      </c>
      <c r="B361" s="42">
        <v>8</v>
      </c>
      <c r="C361" s="42" t="s">
        <v>2315</v>
      </c>
      <c r="D361" s="42"/>
      <c r="E361" s="42"/>
      <c r="F361" s="43" t="s">
        <v>2251</v>
      </c>
      <c r="G361" s="42" t="s">
        <v>2018</v>
      </c>
      <c r="H361" s="42" t="s">
        <v>2290</v>
      </c>
      <c r="I361" s="42" t="s">
        <v>2291</v>
      </c>
      <c r="J361" s="42"/>
      <c r="K361" s="65"/>
      <c r="L361" s="66" t="s">
        <v>2432</v>
      </c>
      <c r="M361" s="67" t="s">
        <v>3619</v>
      </c>
      <c r="N361" s="65" t="s">
        <v>3620</v>
      </c>
      <c r="O361" s="42"/>
      <c r="P361" s="42"/>
      <c r="Q361" s="42" t="s">
        <v>1933</v>
      </c>
      <c r="R361" s="42"/>
      <c r="S361" s="42"/>
      <c r="T361" s="42"/>
      <c r="U361" s="42"/>
      <c r="V361" s="42"/>
      <c r="W361" s="42"/>
      <c r="X361" s="42"/>
      <c r="Y361" s="42"/>
      <c r="Z361" s="32" t="s">
        <v>2295</v>
      </c>
    </row>
    <row r="362" spans="1:26" ht="16.95" customHeight="1" x14ac:dyDescent="0.25">
      <c r="A362" s="36" t="s">
        <v>3621</v>
      </c>
      <c r="B362" s="36">
        <v>8</v>
      </c>
      <c r="C362" s="36" t="s">
        <v>2297</v>
      </c>
      <c r="D362" s="36"/>
      <c r="E362" s="36" t="s">
        <v>1933</v>
      </c>
      <c r="F362" s="37" t="s">
        <v>2251</v>
      </c>
      <c r="G362" s="36" t="s">
        <v>2298</v>
      </c>
      <c r="H362" s="36" t="s">
        <v>2290</v>
      </c>
      <c r="I362" s="36" t="s">
        <v>2291</v>
      </c>
      <c r="J362" s="36" t="s">
        <v>2310</v>
      </c>
      <c r="K362" s="56" t="s">
        <v>3622</v>
      </c>
      <c r="L362" s="57" t="s">
        <v>2534</v>
      </c>
      <c r="M362" s="58" t="s">
        <v>3623</v>
      </c>
      <c r="N362" s="56" t="s">
        <v>3624</v>
      </c>
      <c r="O362" s="36"/>
      <c r="P362" s="36" t="s">
        <v>1933</v>
      </c>
      <c r="Q362" s="36"/>
      <c r="R362" s="36"/>
      <c r="S362" s="36"/>
      <c r="T362" s="36"/>
      <c r="U362" s="36"/>
      <c r="V362" s="36" t="s">
        <v>1933</v>
      </c>
      <c r="W362" s="36"/>
      <c r="X362" s="36"/>
      <c r="Y362" s="36"/>
      <c r="Z362" s="32" t="s">
        <v>2295</v>
      </c>
    </row>
    <row r="363" spans="1:26" ht="16.95" customHeight="1" x14ac:dyDescent="0.25">
      <c r="A363" s="44" t="s">
        <v>3625</v>
      </c>
      <c r="B363" s="44">
        <v>8</v>
      </c>
      <c r="C363" s="44" t="s">
        <v>2328</v>
      </c>
      <c r="D363" s="44"/>
      <c r="E363" s="44"/>
      <c r="F363" s="45" t="s">
        <v>2338</v>
      </c>
      <c r="G363" s="44" t="s">
        <v>2289</v>
      </c>
      <c r="H363" s="44" t="s">
        <v>2290</v>
      </c>
      <c r="I363" s="44" t="s">
        <v>2291</v>
      </c>
      <c r="J363" s="44" t="s">
        <v>2310</v>
      </c>
      <c r="K363" s="68" t="s">
        <v>3626</v>
      </c>
      <c r="L363" s="69" t="s">
        <v>3627</v>
      </c>
      <c r="M363" s="70" t="s">
        <v>3628</v>
      </c>
      <c r="N363" s="68" t="s">
        <v>3629</v>
      </c>
      <c r="O363" s="44" t="s">
        <v>1933</v>
      </c>
      <c r="P363" s="44"/>
      <c r="Q363" s="44" t="s">
        <v>1933</v>
      </c>
      <c r="R363" s="44"/>
      <c r="S363" s="44"/>
      <c r="T363" s="44"/>
      <c r="U363" s="44"/>
      <c r="V363" s="44" t="s">
        <v>1933</v>
      </c>
      <c r="W363" s="44"/>
      <c r="X363" s="44"/>
      <c r="Y363" s="44"/>
      <c r="Z363" s="32" t="s">
        <v>2295</v>
      </c>
    </row>
    <row r="364" spans="1:26" ht="16.95" customHeight="1" x14ac:dyDescent="0.25">
      <c r="A364" s="44" t="s">
        <v>3630</v>
      </c>
      <c r="B364" s="44">
        <v>8</v>
      </c>
      <c r="C364" s="44" t="s">
        <v>2328</v>
      </c>
      <c r="D364" s="44"/>
      <c r="E364" s="44"/>
      <c r="F364" s="45" t="s">
        <v>2251</v>
      </c>
      <c r="G364" s="44" t="s">
        <v>2865</v>
      </c>
      <c r="H364" s="44" t="s">
        <v>2290</v>
      </c>
      <c r="I364" s="44" t="s">
        <v>2291</v>
      </c>
      <c r="J364" s="44" t="s">
        <v>2310</v>
      </c>
      <c r="K364" s="68" t="s">
        <v>3631</v>
      </c>
      <c r="L364" s="69" t="s">
        <v>2292</v>
      </c>
      <c r="M364" s="70" t="s">
        <v>3632</v>
      </c>
      <c r="N364" s="68" t="s">
        <v>3633</v>
      </c>
      <c r="O364" s="44" t="s">
        <v>1933</v>
      </c>
      <c r="P364" s="44"/>
      <c r="Q364" s="44" t="s">
        <v>1933</v>
      </c>
      <c r="R364" s="44"/>
      <c r="S364" s="44"/>
      <c r="T364" s="44"/>
      <c r="U364" s="44" t="s">
        <v>1933</v>
      </c>
      <c r="V364" s="44" t="s">
        <v>1933</v>
      </c>
      <c r="W364" s="44"/>
      <c r="X364" s="44"/>
      <c r="Y364" s="44"/>
      <c r="Z364" s="32" t="s">
        <v>2295</v>
      </c>
    </row>
    <row r="365" spans="1:26" ht="16.95" customHeight="1" x14ac:dyDescent="0.25">
      <c r="A365" s="38" t="s">
        <v>3634</v>
      </c>
      <c r="B365" s="38">
        <v>8</v>
      </c>
      <c r="C365" s="38" t="s">
        <v>2303</v>
      </c>
      <c r="D365" s="38"/>
      <c r="E365" s="38"/>
      <c r="F365" s="39" t="s">
        <v>2338</v>
      </c>
      <c r="G365" s="38" t="s">
        <v>2304</v>
      </c>
      <c r="H365" s="38" t="s">
        <v>2290</v>
      </c>
      <c r="I365" s="38" t="s">
        <v>2291</v>
      </c>
      <c r="J365" s="38" t="s">
        <v>2310</v>
      </c>
      <c r="K365" s="59" t="s">
        <v>3635</v>
      </c>
      <c r="L365" s="60" t="s">
        <v>2292</v>
      </c>
      <c r="M365" s="61" t="s">
        <v>3636</v>
      </c>
      <c r="N365" s="59" t="s">
        <v>3637</v>
      </c>
      <c r="O365" s="38"/>
      <c r="P365" s="38"/>
      <c r="Q365" s="38"/>
      <c r="R365" s="38"/>
      <c r="S365" s="38"/>
      <c r="T365" s="38"/>
      <c r="U365" s="38"/>
      <c r="V365" s="38" t="s">
        <v>1933</v>
      </c>
      <c r="W365" s="38"/>
      <c r="X365" s="38"/>
      <c r="Y365" s="38"/>
      <c r="Z365" s="32" t="s">
        <v>2295</v>
      </c>
    </row>
    <row r="366" spans="1:26" ht="16.95" customHeight="1" x14ac:dyDescent="0.25">
      <c r="A366" s="42" t="s">
        <v>3638</v>
      </c>
      <c r="B366" s="42">
        <v>8</v>
      </c>
      <c r="C366" s="42" t="s">
        <v>2315</v>
      </c>
      <c r="D366" s="42"/>
      <c r="E366" s="42" t="s">
        <v>1933</v>
      </c>
      <c r="F366" s="43" t="s">
        <v>2371</v>
      </c>
      <c r="G366" s="42" t="s">
        <v>2298</v>
      </c>
      <c r="H366" s="42" t="s">
        <v>2290</v>
      </c>
      <c r="I366" s="42" t="s">
        <v>2291</v>
      </c>
      <c r="J366" s="42" t="s">
        <v>2310</v>
      </c>
      <c r="K366" s="65" t="s">
        <v>3639</v>
      </c>
      <c r="L366" s="66" t="s">
        <v>2874</v>
      </c>
      <c r="M366" s="67" t="s">
        <v>3640</v>
      </c>
      <c r="N366" s="65" t="s">
        <v>3641</v>
      </c>
      <c r="O366" s="42"/>
      <c r="P366" s="42" t="s">
        <v>1933</v>
      </c>
      <c r="Q366" s="42" t="s">
        <v>1933</v>
      </c>
      <c r="R366" s="42"/>
      <c r="S366" s="42"/>
      <c r="T366" s="42"/>
      <c r="U366" s="42"/>
      <c r="V366" s="42" t="s">
        <v>1933</v>
      </c>
      <c r="W366" s="42"/>
      <c r="X366" s="42"/>
      <c r="Y366" s="42"/>
      <c r="Z366" s="32" t="s">
        <v>2295</v>
      </c>
    </row>
    <row r="367" spans="1:26" ht="16.95" customHeight="1" x14ac:dyDescent="0.25">
      <c r="A367" s="48" t="s">
        <v>3642</v>
      </c>
      <c r="B367" s="48">
        <v>8</v>
      </c>
      <c r="C367" s="48" t="s">
        <v>2342</v>
      </c>
      <c r="D367" s="48"/>
      <c r="E367" s="48"/>
      <c r="F367" s="49" t="s">
        <v>2251</v>
      </c>
      <c r="G367" s="48" t="s">
        <v>2289</v>
      </c>
      <c r="H367" s="48"/>
      <c r="I367" s="48" t="s">
        <v>2291</v>
      </c>
      <c r="J367" s="48"/>
      <c r="K367" s="74"/>
      <c r="L367" s="75" t="s">
        <v>2338</v>
      </c>
      <c r="M367" s="76" t="s">
        <v>3643</v>
      </c>
      <c r="N367" s="74" t="s">
        <v>3644</v>
      </c>
      <c r="O367" s="48"/>
      <c r="P367" s="48"/>
      <c r="Q367" s="48"/>
      <c r="R367" s="48"/>
      <c r="S367" s="48"/>
      <c r="T367" s="48" t="s">
        <v>1933</v>
      </c>
      <c r="U367" s="48" t="s">
        <v>1933</v>
      </c>
      <c r="V367" s="48" t="s">
        <v>1933</v>
      </c>
      <c r="W367" s="48"/>
      <c r="X367" s="48"/>
      <c r="Y367" s="48"/>
      <c r="Z367" s="32" t="s">
        <v>2295</v>
      </c>
    </row>
    <row r="368" spans="1:26" ht="16.95" customHeight="1" x14ac:dyDescent="0.25">
      <c r="A368" s="44" t="s">
        <v>3645</v>
      </c>
      <c r="B368" s="44">
        <v>8</v>
      </c>
      <c r="C368" s="44" t="s">
        <v>2328</v>
      </c>
      <c r="D368" s="44"/>
      <c r="E368" s="44" t="s">
        <v>1933</v>
      </c>
      <c r="F368" s="45" t="s">
        <v>2251</v>
      </c>
      <c r="G368" s="44" t="s">
        <v>2289</v>
      </c>
      <c r="H368" s="44" t="s">
        <v>2290</v>
      </c>
      <c r="I368" s="44" t="s">
        <v>2291</v>
      </c>
      <c r="J368" s="44"/>
      <c r="K368" s="68"/>
      <c r="L368" s="69" t="s">
        <v>2534</v>
      </c>
      <c r="M368" s="70" t="s">
        <v>3646</v>
      </c>
      <c r="N368" s="68" t="s">
        <v>3647</v>
      </c>
      <c r="O368" s="44" t="s">
        <v>1933</v>
      </c>
      <c r="P368" s="44"/>
      <c r="Q368" s="44"/>
      <c r="R368" s="44"/>
      <c r="S368" s="44"/>
      <c r="T368" s="44" t="s">
        <v>1933</v>
      </c>
      <c r="U368" s="44" t="s">
        <v>1933</v>
      </c>
      <c r="V368" s="44" t="s">
        <v>1933</v>
      </c>
      <c r="W368" s="44"/>
      <c r="X368" s="44"/>
      <c r="Y368" s="44"/>
      <c r="Z368" s="32" t="s">
        <v>2295</v>
      </c>
    </row>
    <row r="369" spans="1:26" ht="16.95" customHeight="1" x14ac:dyDescent="0.25">
      <c r="A369" s="42" t="s">
        <v>3648</v>
      </c>
      <c r="B369" s="42">
        <v>8</v>
      </c>
      <c r="C369" s="42" t="s">
        <v>2315</v>
      </c>
      <c r="D369" s="42"/>
      <c r="E369" s="42" t="s">
        <v>1933</v>
      </c>
      <c r="F369" s="43" t="s">
        <v>2251</v>
      </c>
      <c r="G369" s="42" t="s">
        <v>3126</v>
      </c>
      <c r="H369" s="42" t="s">
        <v>2290</v>
      </c>
      <c r="I369" s="42" t="s">
        <v>2291</v>
      </c>
      <c r="J369" s="42" t="s">
        <v>2310</v>
      </c>
      <c r="K369" s="65" t="s">
        <v>3649</v>
      </c>
      <c r="L369" s="66" t="s">
        <v>2299</v>
      </c>
      <c r="M369" s="67" t="s">
        <v>3650</v>
      </c>
      <c r="N369" s="65" t="s">
        <v>3651</v>
      </c>
      <c r="O369" s="42"/>
      <c r="P369" s="42" t="s">
        <v>1933</v>
      </c>
      <c r="Q369" s="42" t="s">
        <v>1933</v>
      </c>
      <c r="R369" s="42"/>
      <c r="S369" s="42"/>
      <c r="T369" s="42" t="s">
        <v>1933</v>
      </c>
      <c r="U369" s="42"/>
      <c r="V369" s="42"/>
      <c r="W369" s="42"/>
      <c r="X369" s="42"/>
      <c r="Y369" s="42"/>
      <c r="Z369" s="32" t="s">
        <v>2295</v>
      </c>
    </row>
    <row r="370" spans="1:26" ht="16.95" customHeight="1" x14ac:dyDescent="0.25">
      <c r="A370" s="44" t="s">
        <v>3652</v>
      </c>
      <c r="B370" s="44">
        <v>8</v>
      </c>
      <c r="C370" s="44" t="s">
        <v>2328</v>
      </c>
      <c r="D370" s="44"/>
      <c r="E370" s="44"/>
      <c r="F370" s="45" t="s">
        <v>2251</v>
      </c>
      <c r="G370" s="44" t="s">
        <v>2298</v>
      </c>
      <c r="H370" s="44" t="s">
        <v>2290</v>
      </c>
      <c r="I370" s="44"/>
      <c r="J370" s="44"/>
      <c r="K370" s="68"/>
      <c r="L370" s="69" t="s">
        <v>2338</v>
      </c>
      <c r="M370" s="70" t="s">
        <v>3653</v>
      </c>
      <c r="N370" s="68" t="s">
        <v>3654</v>
      </c>
      <c r="O370" s="44" t="s">
        <v>1933</v>
      </c>
      <c r="P370" s="44"/>
      <c r="Q370" s="44"/>
      <c r="R370" s="44"/>
      <c r="S370" s="44"/>
      <c r="T370" s="44"/>
      <c r="U370" s="44" t="s">
        <v>1933</v>
      </c>
      <c r="V370" s="44"/>
      <c r="W370" s="44"/>
      <c r="X370" s="44"/>
      <c r="Y370" s="44"/>
      <c r="Z370" s="32" t="s">
        <v>2295</v>
      </c>
    </row>
    <row r="371" spans="1:26" ht="16.95" customHeight="1" x14ac:dyDescent="0.25">
      <c r="A371" s="36" t="s">
        <v>3655</v>
      </c>
      <c r="B371" s="36">
        <v>8</v>
      </c>
      <c r="C371" s="36" t="s">
        <v>2297</v>
      </c>
      <c r="D371" s="36"/>
      <c r="E371" s="36" t="s">
        <v>1933</v>
      </c>
      <c r="F371" s="37" t="s">
        <v>2251</v>
      </c>
      <c r="G371" s="36" t="s">
        <v>2298</v>
      </c>
      <c r="H371" s="36" t="s">
        <v>2290</v>
      </c>
      <c r="I371" s="36" t="s">
        <v>2291</v>
      </c>
      <c r="J371" s="36" t="s">
        <v>2310</v>
      </c>
      <c r="K371" s="56" t="s">
        <v>3656</v>
      </c>
      <c r="L371" s="57" t="s">
        <v>2299</v>
      </c>
      <c r="M371" s="58" t="s">
        <v>3657</v>
      </c>
      <c r="N371" s="56" t="s">
        <v>3658</v>
      </c>
      <c r="O371" s="36"/>
      <c r="P371" s="36" t="s">
        <v>1933</v>
      </c>
      <c r="Q371" s="36"/>
      <c r="R371" s="36"/>
      <c r="S371" s="36"/>
      <c r="T371" s="36"/>
      <c r="U371" s="36"/>
      <c r="V371" s="36"/>
      <c r="W371" s="36"/>
      <c r="X371" s="36"/>
      <c r="Y371" s="36"/>
      <c r="Z371" s="32" t="s">
        <v>2295</v>
      </c>
    </row>
    <row r="372" spans="1:26" ht="16.95" customHeight="1" x14ac:dyDescent="0.25">
      <c r="A372" s="48" t="s">
        <v>3659</v>
      </c>
      <c r="B372" s="48">
        <v>8</v>
      </c>
      <c r="C372" s="48" t="s">
        <v>2342</v>
      </c>
      <c r="D372" s="48"/>
      <c r="E372" s="48" t="s">
        <v>1933</v>
      </c>
      <c r="F372" s="49" t="s">
        <v>2251</v>
      </c>
      <c r="G372" s="48" t="s">
        <v>2865</v>
      </c>
      <c r="H372" s="48" t="s">
        <v>2290</v>
      </c>
      <c r="I372" s="48" t="s">
        <v>2291</v>
      </c>
      <c r="J372" s="48"/>
      <c r="K372" s="74"/>
      <c r="L372" s="75" t="s">
        <v>2299</v>
      </c>
      <c r="M372" s="76" t="s">
        <v>3660</v>
      </c>
      <c r="N372" s="74" t="s">
        <v>3661</v>
      </c>
      <c r="O372" s="48"/>
      <c r="P372" s="48"/>
      <c r="Q372" s="48" t="s">
        <v>1933</v>
      </c>
      <c r="R372" s="48"/>
      <c r="S372" s="48"/>
      <c r="T372" s="48" t="s">
        <v>1933</v>
      </c>
      <c r="U372" s="48"/>
      <c r="V372" s="48" t="s">
        <v>1933</v>
      </c>
      <c r="W372" s="48"/>
      <c r="X372" s="48"/>
      <c r="Y372" s="48"/>
      <c r="Z372" s="32" t="s">
        <v>2295</v>
      </c>
    </row>
    <row r="373" spans="1:26" ht="16.95" customHeight="1" x14ac:dyDescent="0.25">
      <c r="A373" s="48" t="s">
        <v>3662</v>
      </c>
      <c r="B373" s="48">
        <v>8</v>
      </c>
      <c r="C373" s="48" t="s">
        <v>2342</v>
      </c>
      <c r="D373" s="48"/>
      <c r="E373" s="48" t="s">
        <v>1933</v>
      </c>
      <c r="F373" s="49" t="s">
        <v>2251</v>
      </c>
      <c r="G373" s="48" t="s">
        <v>2289</v>
      </c>
      <c r="H373" s="48" t="s">
        <v>2290</v>
      </c>
      <c r="I373" s="48" t="s">
        <v>2291</v>
      </c>
      <c r="J373" s="48"/>
      <c r="K373" s="74"/>
      <c r="L373" s="75" t="s">
        <v>2484</v>
      </c>
      <c r="M373" s="76" t="s">
        <v>3663</v>
      </c>
      <c r="N373" s="74" t="s">
        <v>3664</v>
      </c>
      <c r="O373" s="48"/>
      <c r="P373" s="48"/>
      <c r="Q373" s="48"/>
      <c r="R373" s="48"/>
      <c r="S373" s="48"/>
      <c r="T373" s="48"/>
      <c r="U373" s="48"/>
      <c r="V373" s="48" t="s">
        <v>1933</v>
      </c>
      <c r="W373" s="48"/>
      <c r="X373" s="48"/>
      <c r="Y373" s="48"/>
      <c r="Z373" s="32" t="s">
        <v>2295</v>
      </c>
    </row>
    <row r="374" spans="1:26" ht="16.95" customHeight="1" x14ac:dyDescent="0.25">
      <c r="A374" s="36" t="s">
        <v>3665</v>
      </c>
      <c r="B374" s="36">
        <v>8</v>
      </c>
      <c r="C374" s="36" t="s">
        <v>2297</v>
      </c>
      <c r="D374" s="36"/>
      <c r="E374" s="36"/>
      <c r="F374" s="37" t="s">
        <v>2251</v>
      </c>
      <c r="G374" s="36" t="s">
        <v>2304</v>
      </c>
      <c r="H374" s="36" t="s">
        <v>2290</v>
      </c>
      <c r="I374" s="36" t="s">
        <v>2291</v>
      </c>
      <c r="J374" s="36"/>
      <c r="K374" s="56"/>
      <c r="L374" s="57" t="s">
        <v>2432</v>
      </c>
      <c r="M374" s="58" t="s">
        <v>3666</v>
      </c>
      <c r="N374" s="56" t="s">
        <v>3667</v>
      </c>
      <c r="O374" s="36" t="s">
        <v>1933</v>
      </c>
      <c r="P374" s="36"/>
      <c r="Q374" s="36"/>
      <c r="R374" s="36"/>
      <c r="S374" s="36"/>
      <c r="T374" s="36"/>
      <c r="U374" s="36"/>
      <c r="V374" s="36" t="s">
        <v>1933</v>
      </c>
      <c r="W374" s="36"/>
      <c r="X374" s="36"/>
      <c r="Y374" s="36"/>
      <c r="Z374" s="32" t="s">
        <v>2295</v>
      </c>
    </row>
    <row r="375" spans="1:26" ht="16.95" customHeight="1" x14ac:dyDescent="0.25">
      <c r="A375" s="44" t="s">
        <v>3668</v>
      </c>
      <c r="B375" s="44">
        <v>8</v>
      </c>
      <c r="C375" s="44" t="s">
        <v>2328</v>
      </c>
      <c r="D375" s="44"/>
      <c r="E375" s="44"/>
      <c r="F375" s="45" t="s">
        <v>2251</v>
      </c>
      <c r="G375" s="44" t="s">
        <v>2289</v>
      </c>
      <c r="H375" s="44" t="s">
        <v>2290</v>
      </c>
      <c r="I375" s="44"/>
      <c r="J375" s="44"/>
      <c r="K375" s="68"/>
      <c r="L375" s="69" t="s">
        <v>2292</v>
      </c>
      <c r="M375" s="70" t="s">
        <v>3669</v>
      </c>
      <c r="N375" s="68" t="s">
        <v>3670</v>
      </c>
      <c r="O375" s="44" t="s">
        <v>1933</v>
      </c>
      <c r="P375" s="44"/>
      <c r="Q375" s="44"/>
      <c r="R375" s="44"/>
      <c r="S375" s="44"/>
      <c r="T375" s="44" t="s">
        <v>1933</v>
      </c>
      <c r="U375" s="44" t="s">
        <v>1933</v>
      </c>
      <c r="V375" s="44" t="s">
        <v>1933</v>
      </c>
      <c r="W375" s="44"/>
      <c r="X375" s="44"/>
      <c r="Y375" s="44"/>
      <c r="Z375" s="32" t="s">
        <v>2295</v>
      </c>
    </row>
    <row r="376" spans="1:26" ht="16.95" customHeight="1" x14ac:dyDescent="0.25">
      <c r="A376" s="34" t="s">
        <v>3671</v>
      </c>
      <c r="B376" s="34">
        <v>8</v>
      </c>
      <c r="C376" s="34" t="s">
        <v>2288</v>
      </c>
      <c r="D376" s="34"/>
      <c r="E376" s="34"/>
      <c r="F376" s="35" t="s">
        <v>2251</v>
      </c>
      <c r="G376" s="34" t="s">
        <v>2865</v>
      </c>
      <c r="H376" s="34" t="s">
        <v>2290</v>
      </c>
      <c r="I376" s="34" t="s">
        <v>2291</v>
      </c>
      <c r="J376" s="34" t="s">
        <v>2310</v>
      </c>
      <c r="K376" s="53" t="s">
        <v>3672</v>
      </c>
      <c r="L376" s="54" t="s">
        <v>2292</v>
      </c>
      <c r="M376" s="55" t="s">
        <v>3673</v>
      </c>
      <c r="N376" s="53" t="s">
        <v>3674</v>
      </c>
      <c r="O376" s="34"/>
      <c r="P376" s="34" t="s">
        <v>1933</v>
      </c>
      <c r="Q376" s="34" t="s">
        <v>1933</v>
      </c>
      <c r="R376" s="34"/>
      <c r="S376" s="34"/>
      <c r="T376" s="34" t="s">
        <v>1933</v>
      </c>
      <c r="U376" s="34"/>
      <c r="V376" s="34" t="s">
        <v>1933</v>
      </c>
      <c r="W376" s="34"/>
      <c r="X376" s="34"/>
      <c r="Y376" s="34"/>
      <c r="Z376" s="32" t="s">
        <v>2295</v>
      </c>
    </row>
    <row r="377" spans="1:26" ht="16.95" customHeight="1" x14ac:dyDescent="0.25">
      <c r="A377" s="46" t="s">
        <v>693</v>
      </c>
      <c r="B377" s="46">
        <v>8</v>
      </c>
      <c r="C377" s="46" t="s">
        <v>2334</v>
      </c>
      <c r="D377" s="46"/>
      <c r="E377" s="46"/>
      <c r="F377" s="47" t="s">
        <v>2251</v>
      </c>
      <c r="G377" s="46" t="s">
        <v>3029</v>
      </c>
      <c r="H377" s="46" t="s">
        <v>2290</v>
      </c>
      <c r="I377" s="46" t="s">
        <v>2291</v>
      </c>
      <c r="J377" s="46" t="s">
        <v>2310</v>
      </c>
      <c r="K377" s="71" t="s">
        <v>3675</v>
      </c>
      <c r="L377" s="72" t="s">
        <v>2432</v>
      </c>
      <c r="M377" s="73" t="s">
        <v>3676</v>
      </c>
      <c r="N377" s="71" t="s">
        <v>3677</v>
      </c>
      <c r="O377" s="46"/>
      <c r="P377" s="46"/>
      <c r="Q377" s="46"/>
      <c r="R377" s="46"/>
      <c r="S377" s="46"/>
      <c r="T377" s="46"/>
      <c r="U377" s="46"/>
      <c r="V377" s="46" t="s">
        <v>1933</v>
      </c>
      <c r="W377" s="46"/>
      <c r="X377" s="46"/>
      <c r="Y377" s="46"/>
      <c r="Z377" s="32" t="s">
        <v>2295</v>
      </c>
    </row>
    <row r="378" spans="1:26" ht="16.95" customHeight="1" x14ac:dyDescent="0.25">
      <c r="A378" s="48" t="s">
        <v>3678</v>
      </c>
      <c r="B378" s="48">
        <v>8</v>
      </c>
      <c r="C378" s="48" t="s">
        <v>2342</v>
      </c>
      <c r="D378" s="48"/>
      <c r="E378" s="48" t="s">
        <v>1933</v>
      </c>
      <c r="F378" s="49" t="s">
        <v>2343</v>
      </c>
      <c r="G378" s="48" t="s">
        <v>2915</v>
      </c>
      <c r="H378" s="48" t="s">
        <v>2290</v>
      </c>
      <c r="I378" s="48" t="s">
        <v>2291</v>
      </c>
      <c r="J378" s="48"/>
      <c r="K378" s="74"/>
      <c r="L378" s="75" t="s">
        <v>3679</v>
      </c>
      <c r="M378" s="76" t="s">
        <v>3680</v>
      </c>
      <c r="N378" s="74" t="s">
        <v>3681</v>
      </c>
      <c r="O378" s="48"/>
      <c r="P378" s="48"/>
      <c r="Q378" s="48" t="s">
        <v>1933</v>
      </c>
      <c r="R378" s="48"/>
      <c r="S378" s="48"/>
      <c r="T378" s="48"/>
      <c r="U378" s="48"/>
      <c r="V378" s="48"/>
      <c r="W378" s="48"/>
      <c r="X378" s="48"/>
      <c r="Y378" s="48"/>
      <c r="Z378" s="32" t="s">
        <v>2295</v>
      </c>
    </row>
    <row r="379" spans="1:26" ht="16.95" customHeight="1" x14ac:dyDescent="0.25">
      <c r="A379" s="38" t="s">
        <v>3682</v>
      </c>
      <c r="B379" s="38">
        <v>9</v>
      </c>
      <c r="C379" s="38" t="s">
        <v>2303</v>
      </c>
      <c r="D379" s="38"/>
      <c r="E379" s="38"/>
      <c r="F379" s="39" t="s">
        <v>2338</v>
      </c>
      <c r="G379" s="38" t="s">
        <v>2329</v>
      </c>
      <c r="H379" s="38" t="s">
        <v>2290</v>
      </c>
      <c r="I379" s="38" t="s">
        <v>2291</v>
      </c>
      <c r="J379" s="38" t="s">
        <v>2310</v>
      </c>
      <c r="K379" s="59" t="s">
        <v>3683</v>
      </c>
      <c r="L379" s="60" t="s">
        <v>2673</v>
      </c>
      <c r="M379" s="61" t="s">
        <v>3684</v>
      </c>
      <c r="N379" s="59" t="s">
        <v>3685</v>
      </c>
      <c r="O379" s="38"/>
      <c r="P379" s="38" t="s">
        <v>1933</v>
      </c>
      <c r="Q379" s="38"/>
      <c r="R379" s="38"/>
      <c r="S379" s="38"/>
      <c r="T379" s="38"/>
      <c r="U379" s="38" t="s">
        <v>1933</v>
      </c>
      <c r="V379" s="38" t="s">
        <v>1933</v>
      </c>
      <c r="W379" s="38"/>
      <c r="X379" s="38"/>
      <c r="Y379" s="38"/>
      <c r="Z379" s="32" t="s">
        <v>2295</v>
      </c>
    </row>
    <row r="380" spans="1:26" ht="16.95" customHeight="1" x14ac:dyDescent="0.25">
      <c r="A380" s="46" t="s">
        <v>3686</v>
      </c>
      <c r="B380" s="46">
        <v>9</v>
      </c>
      <c r="C380" s="46" t="s">
        <v>2334</v>
      </c>
      <c r="D380" s="46"/>
      <c r="E380" s="46"/>
      <c r="F380" s="47" t="s">
        <v>2343</v>
      </c>
      <c r="G380" s="46" t="s">
        <v>2304</v>
      </c>
      <c r="H380" s="46" t="s">
        <v>2290</v>
      </c>
      <c r="I380" s="46" t="s">
        <v>2291</v>
      </c>
      <c r="J380" s="46" t="s">
        <v>2310</v>
      </c>
      <c r="K380" s="71" t="s">
        <v>3687</v>
      </c>
      <c r="L380" s="72" t="s">
        <v>2427</v>
      </c>
      <c r="M380" s="73" t="s">
        <v>3688</v>
      </c>
      <c r="N380" s="71" t="s">
        <v>3689</v>
      </c>
      <c r="O380" s="46" t="s">
        <v>1933</v>
      </c>
      <c r="P380" s="46"/>
      <c r="Q380" s="46" t="s">
        <v>1933</v>
      </c>
      <c r="R380" s="46"/>
      <c r="S380" s="46"/>
      <c r="T380" s="46"/>
      <c r="U380" s="46" t="s">
        <v>1933</v>
      </c>
      <c r="V380" s="46" t="s">
        <v>1933</v>
      </c>
      <c r="W380" s="46"/>
      <c r="X380" s="46"/>
      <c r="Y380" s="46"/>
      <c r="Z380" s="32" t="s">
        <v>2295</v>
      </c>
    </row>
    <row r="381" spans="1:26" ht="16.95" customHeight="1" x14ac:dyDescent="0.25">
      <c r="A381" s="48" t="s">
        <v>3690</v>
      </c>
      <c r="B381" s="48">
        <v>9</v>
      </c>
      <c r="C381" s="48" t="s">
        <v>2342</v>
      </c>
      <c r="D381" s="48"/>
      <c r="E381" s="48" t="s">
        <v>1933</v>
      </c>
      <c r="F381" s="49" t="s">
        <v>2251</v>
      </c>
      <c r="G381" s="48" t="s">
        <v>2289</v>
      </c>
      <c r="H381" s="48" t="s">
        <v>2290</v>
      </c>
      <c r="I381" s="48" t="s">
        <v>2291</v>
      </c>
      <c r="J381" s="48" t="s">
        <v>2310</v>
      </c>
      <c r="K381" s="74" t="s">
        <v>3691</v>
      </c>
      <c r="L381" s="75" t="s">
        <v>2299</v>
      </c>
      <c r="M381" s="76" t="s">
        <v>3692</v>
      </c>
      <c r="N381" s="74" t="s">
        <v>3693</v>
      </c>
      <c r="O381" s="48"/>
      <c r="P381" s="48" t="s">
        <v>1933</v>
      </c>
      <c r="Q381" s="48"/>
      <c r="R381" s="48"/>
      <c r="S381" s="48"/>
      <c r="T381" s="48" t="s">
        <v>1933</v>
      </c>
      <c r="U381" s="48" t="s">
        <v>1933</v>
      </c>
      <c r="V381" s="48" t="s">
        <v>1933</v>
      </c>
      <c r="W381" s="48"/>
      <c r="X381" s="48"/>
      <c r="Y381" s="48"/>
      <c r="Z381" s="32" t="s">
        <v>2295</v>
      </c>
    </row>
    <row r="382" spans="1:26" ht="16.95" customHeight="1" x14ac:dyDescent="0.25">
      <c r="A382" s="36" t="s">
        <v>3694</v>
      </c>
      <c r="B382" s="36">
        <v>9</v>
      </c>
      <c r="C382" s="36" t="s">
        <v>2297</v>
      </c>
      <c r="D382" s="36"/>
      <c r="E382" s="36"/>
      <c r="F382" s="37" t="s">
        <v>2343</v>
      </c>
      <c r="G382" s="36" t="s">
        <v>2018</v>
      </c>
      <c r="H382" s="36" t="s">
        <v>2290</v>
      </c>
      <c r="I382" s="36" t="s">
        <v>2291</v>
      </c>
      <c r="J382" s="36" t="s">
        <v>2310</v>
      </c>
      <c r="K382" s="56" t="s">
        <v>3695</v>
      </c>
      <c r="L382" s="57" t="s">
        <v>3176</v>
      </c>
      <c r="M382" s="58" t="s">
        <v>3696</v>
      </c>
      <c r="N382" s="56" t="s">
        <v>3697</v>
      </c>
      <c r="O382" s="36"/>
      <c r="P382" s="36"/>
      <c r="Q382" s="36"/>
      <c r="R382" s="36"/>
      <c r="S382" s="36"/>
      <c r="T382" s="36"/>
      <c r="U382" s="36" t="s">
        <v>1933</v>
      </c>
      <c r="V382" s="36" t="s">
        <v>1933</v>
      </c>
      <c r="W382" s="36"/>
      <c r="X382" s="36"/>
      <c r="Y382" s="36"/>
      <c r="Z382" s="32" t="s">
        <v>2295</v>
      </c>
    </row>
    <row r="383" spans="1:26" ht="16.95" customHeight="1" x14ac:dyDescent="0.25">
      <c r="A383" s="36" t="s">
        <v>3698</v>
      </c>
      <c r="B383" s="36">
        <v>9</v>
      </c>
      <c r="C383" s="36" t="s">
        <v>2297</v>
      </c>
      <c r="D383" s="36"/>
      <c r="E383" s="36"/>
      <c r="F383" s="37" t="s">
        <v>2251</v>
      </c>
      <c r="G383" s="36" t="s">
        <v>2289</v>
      </c>
      <c r="H383" s="36" t="s">
        <v>2290</v>
      </c>
      <c r="I383" s="36" t="s">
        <v>2291</v>
      </c>
      <c r="J383" s="36"/>
      <c r="K383" s="56"/>
      <c r="L383" s="57" t="s">
        <v>2292</v>
      </c>
      <c r="M383" s="58" t="s">
        <v>3699</v>
      </c>
      <c r="N383" s="56" t="s">
        <v>3700</v>
      </c>
      <c r="O383" s="36"/>
      <c r="P383" s="36" t="s">
        <v>1933</v>
      </c>
      <c r="Q383" s="36"/>
      <c r="R383" s="36"/>
      <c r="S383" s="36"/>
      <c r="T383" s="36"/>
      <c r="U383" s="36"/>
      <c r="V383" s="36"/>
      <c r="W383" s="36"/>
      <c r="X383" s="36"/>
      <c r="Y383" s="36"/>
      <c r="Z383" s="32" t="s">
        <v>2295</v>
      </c>
    </row>
    <row r="384" spans="1:26" ht="16.95" customHeight="1" x14ac:dyDescent="0.25">
      <c r="A384" s="34" t="s">
        <v>3701</v>
      </c>
      <c r="B384" s="34">
        <v>9</v>
      </c>
      <c r="C384" s="34" t="s">
        <v>2288</v>
      </c>
      <c r="D384" s="34"/>
      <c r="E384" s="34"/>
      <c r="F384" s="35" t="s">
        <v>2251</v>
      </c>
      <c r="G384" s="34" t="s">
        <v>2915</v>
      </c>
      <c r="H384" s="34" t="s">
        <v>2290</v>
      </c>
      <c r="I384" s="34" t="s">
        <v>2291</v>
      </c>
      <c r="J384" s="34"/>
      <c r="K384" s="53"/>
      <c r="L384" s="54" t="s">
        <v>2292</v>
      </c>
      <c r="M384" s="55" t="s">
        <v>3702</v>
      </c>
      <c r="N384" s="53" t="s">
        <v>3703</v>
      </c>
      <c r="O384" s="34"/>
      <c r="P384" s="34"/>
      <c r="Q384" s="34"/>
      <c r="R384" s="34"/>
      <c r="S384" s="34"/>
      <c r="T384" s="34" t="s">
        <v>1933</v>
      </c>
      <c r="U384" s="34"/>
      <c r="V384" s="34" t="s">
        <v>1933</v>
      </c>
      <c r="W384" s="34"/>
      <c r="X384" s="34"/>
      <c r="Y384" s="34"/>
      <c r="Z384" s="32" t="s">
        <v>2295</v>
      </c>
    </row>
    <row r="385" spans="1:26" ht="16.95" customHeight="1" x14ac:dyDescent="0.25">
      <c r="A385" s="44" t="s">
        <v>3704</v>
      </c>
      <c r="B385" s="44">
        <v>9</v>
      </c>
      <c r="C385" s="44" t="s">
        <v>2328</v>
      </c>
      <c r="D385" s="44"/>
      <c r="E385" s="44"/>
      <c r="F385" s="45" t="s">
        <v>2251</v>
      </c>
      <c r="G385" s="44" t="s">
        <v>2289</v>
      </c>
      <c r="H385" s="44" t="s">
        <v>2290</v>
      </c>
      <c r="I385" s="44"/>
      <c r="J385" s="44"/>
      <c r="K385" s="68"/>
      <c r="L385" s="69" t="s">
        <v>2292</v>
      </c>
      <c r="M385" s="70" t="s">
        <v>3705</v>
      </c>
      <c r="N385" s="68" t="s">
        <v>3706</v>
      </c>
      <c r="O385" s="44" t="s">
        <v>1933</v>
      </c>
      <c r="P385" s="44" t="s">
        <v>1933</v>
      </c>
      <c r="Q385" s="44"/>
      <c r="R385" s="44"/>
      <c r="S385" s="44"/>
      <c r="T385" s="44"/>
      <c r="U385" s="44"/>
      <c r="V385" s="44"/>
      <c r="W385" s="44"/>
      <c r="X385" s="44"/>
      <c r="Y385" s="44"/>
      <c r="Z385" s="32" t="s">
        <v>2295</v>
      </c>
    </row>
    <row r="386" spans="1:26" ht="16.95" customHeight="1" x14ac:dyDescent="0.25">
      <c r="A386" s="44" t="s">
        <v>3707</v>
      </c>
      <c r="B386" s="44">
        <v>9</v>
      </c>
      <c r="C386" s="44" t="s">
        <v>2328</v>
      </c>
      <c r="D386" s="44"/>
      <c r="E386" s="44"/>
      <c r="F386" s="45" t="s">
        <v>2251</v>
      </c>
      <c r="G386" s="44" t="s">
        <v>2289</v>
      </c>
      <c r="H386" s="44" t="s">
        <v>2290</v>
      </c>
      <c r="I386" s="44"/>
      <c r="J386" s="44"/>
      <c r="K386" s="68"/>
      <c r="L386" s="69" t="s">
        <v>2292</v>
      </c>
      <c r="M386" s="70" t="s">
        <v>3708</v>
      </c>
      <c r="N386" s="68" t="s">
        <v>3709</v>
      </c>
      <c r="O386" s="44" t="s">
        <v>1933</v>
      </c>
      <c r="P386" s="44"/>
      <c r="Q386" s="44"/>
      <c r="R386" s="44"/>
      <c r="S386" s="44"/>
      <c r="T386" s="44" t="s">
        <v>1933</v>
      </c>
      <c r="U386" s="44" t="s">
        <v>1933</v>
      </c>
      <c r="V386" s="44" t="s">
        <v>1933</v>
      </c>
      <c r="W386" s="44"/>
      <c r="X386" s="44"/>
      <c r="Y386" s="44"/>
      <c r="Z386" s="32" t="s">
        <v>2295</v>
      </c>
    </row>
    <row r="387" spans="1:26" ht="16.95" customHeight="1" x14ac:dyDescent="0.25">
      <c r="A387" s="36" t="s">
        <v>3710</v>
      </c>
      <c r="B387" s="36">
        <v>9</v>
      </c>
      <c r="C387" s="36" t="s">
        <v>2297</v>
      </c>
      <c r="D387" s="36"/>
      <c r="E387" s="36"/>
      <c r="F387" s="37" t="s">
        <v>2251</v>
      </c>
      <c r="G387" s="36" t="s">
        <v>2289</v>
      </c>
      <c r="H387" s="36" t="s">
        <v>2290</v>
      </c>
      <c r="I387" s="36" t="s">
        <v>2291</v>
      </c>
      <c r="J387" s="36"/>
      <c r="K387" s="56"/>
      <c r="L387" s="57" t="s">
        <v>2371</v>
      </c>
      <c r="M387" s="58" t="s">
        <v>3711</v>
      </c>
      <c r="N387" s="56" t="s">
        <v>3712</v>
      </c>
      <c r="O387" s="36" t="s">
        <v>1933</v>
      </c>
      <c r="P387" s="36"/>
      <c r="Q387" s="36"/>
      <c r="R387" s="36"/>
      <c r="S387" s="36"/>
      <c r="T387" s="36"/>
      <c r="U387" s="36"/>
      <c r="V387" s="36" t="s">
        <v>1933</v>
      </c>
      <c r="W387" s="36"/>
      <c r="X387" s="36"/>
      <c r="Y387" s="36"/>
      <c r="Z387" s="32" t="s">
        <v>2295</v>
      </c>
    </row>
    <row r="388" spans="1:26" ht="16.95" customHeight="1" x14ac:dyDescent="0.25">
      <c r="A388" s="42" t="s">
        <v>3713</v>
      </c>
      <c r="B388" s="42">
        <v>9</v>
      </c>
      <c r="C388" s="42" t="s">
        <v>2315</v>
      </c>
      <c r="D388" s="42"/>
      <c r="E388" s="42" t="s">
        <v>1933</v>
      </c>
      <c r="F388" s="43" t="s">
        <v>2251</v>
      </c>
      <c r="G388" s="42" t="s">
        <v>2298</v>
      </c>
      <c r="H388" s="42" t="s">
        <v>2290</v>
      </c>
      <c r="I388" s="42" t="s">
        <v>2291</v>
      </c>
      <c r="J388" s="42" t="s">
        <v>2310</v>
      </c>
      <c r="K388" s="65" t="s">
        <v>3714</v>
      </c>
      <c r="L388" s="66" t="s">
        <v>2534</v>
      </c>
      <c r="M388" s="67" t="s">
        <v>3715</v>
      </c>
      <c r="N388" s="65" t="s">
        <v>3716</v>
      </c>
      <c r="O388" s="42"/>
      <c r="P388" s="42"/>
      <c r="Q388" s="42" t="s">
        <v>1933</v>
      </c>
      <c r="R388" s="42"/>
      <c r="S388" s="42"/>
      <c r="T388" s="42"/>
      <c r="U388" s="42"/>
      <c r="V388" s="42" t="s">
        <v>1933</v>
      </c>
      <c r="W388" s="42"/>
      <c r="X388" s="42"/>
      <c r="Y388" s="42"/>
      <c r="Z388" s="32" t="s">
        <v>2295</v>
      </c>
    </row>
    <row r="389" spans="1:26" ht="16.95" customHeight="1" x14ac:dyDescent="0.25">
      <c r="A389" s="48" t="s">
        <v>3717</v>
      </c>
      <c r="B389" s="48">
        <v>9</v>
      </c>
      <c r="C389" s="48" t="s">
        <v>2342</v>
      </c>
      <c r="D389" s="48"/>
      <c r="E389" s="48" t="s">
        <v>1933</v>
      </c>
      <c r="F389" s="49" t="s">
        <v>2251</v>
      </c>
      <c r="G389" s="48" t="s">
        <v>2915</v>
      </c>
      <c r="H389" s="48" t="s">
        <v>2290</v>
      </c>
      <c r="I389" s="48" t="s">
        <v>2291</v>
      </c>
      <c r="J389" s="48"/>
      <c r="K389" s="74"/>
      <c r="L389" s="75" t="s">
        <v>2299</v>
      </c>
      <c r="M389" s="76" t="s">
        <v>3718</v>
      </c>
      <c r="N389" s="74" t="s">
        <v>3719</v>
      </c>
      <c r="O389" s="48"/>
      <c r="P389" s="48"/>
      <c r="Q389" s="48" t="s">
        <v>1933</v>
      </c>
      <c r="R389" s="48"/>
      <c r="S389" s="48"/>
      <c r="T389" s="48"/>
      <c r="U389" s="48"/>
      <c r="V389" s="48"/>
      <c r="W389" s="48"/>
      <c r="X389" s="48"/>
      <c r="Y389" s="48"/>
      <c r="Z389" s="32" t="s">
        <v>2295</v>
      </c>
    </row>
    <row r="390" spans="1:26" ht="16.95" customHeight="1" x14ac:dyDescent="0.25">
      <c r="A390" s="42" t="s">
        <v>3720</v>
      </c>
      <c r="B390" s="42">
        <v>9</v>
      </c>
      <c r="C390" s="42" t="s">
        <v>2315</v>
      </c>
      <c r="D390" s="42"/>
      <c r="E390" s="42"/>
      <c r="F390" s="43" t="s">
        <v>2251</v>
      </c>
      <c r="G390" s="42" t="s">
        <v>2298</v>
      </c>
      <c r="H390" s="42" t="s">
        <v>2290</v>
      </c>
      <c r="I390" s="42"/>
      <c r="J390" s="42"/>
      <c r="K390" s="65"/>
      <c r="L390" s="66" t="s">
        <v>2292</v>
      </c>
      <c r="M390" s="67" t="s">
        <v>3721</v>
      </c>
      <c r="N390" s="65" t="s">
        <v>3722</v>
      </c>
      <c r="O390" s="42"/>
      <c r="P390" s="42"/>
      <c r="Q390" s="42"/>
      <c r="R390" s="42"/>
      <c r="S390" s="42"/>
      <c r="T390" s="42" t="s">
        <v>1933</v>
      </c>
      <c r="U390" s="42"/>
      <c r="V390" s="42" t="s">
        <v>1933</v>
      </c>
      <c r="W390" s="42"/>
      <c r="X390" s="42"/>
      <c r="Y390" s="42"/>
      <c r="Z390" s="32" t="s">
        <v>2295</v>
      </c>
    </row>
    <row r="391" spans="1:26" ht="16.95" customHeight="1" x14ac:dyDescent="0.25">
      <c r="A391" s="42" t="s">
        <v>3723</v>
      </c>
      <c r="B391" s="42">
        <v>9</v>
      </c>
      <c r="C391" s="42" t="s">
        <v>2315</v>
      </c>
      <c r="D391" s="42"/>
      <c r="E391" s="42" t="s">
        <v>1933</v>
      </c>
      <c r="F391" s="43" t="s">
        <v>2251</v>
      </c>
      <c r="G391" s="42" t="s">
        <v>2018</v>
      </c>
      <c r="H391" s="42" t="s">
        <v>2290</v>
      </c>
      <c r="I391" s="42" t="s">
        <v>2291</v>
      </c>
      <c r="J391" s="42" t="s">
        <v>2310</v>
      </c>
      <c r="K391" s="65" t="s">
        <v>3724</v>
      </c>
      <c r="L391" s="66" t="s">
        <v>2534</v>
      </c>
      <c r="M391" s="67" t="s">
        <v>3725</v>
      </c>
      <c r="N391" s="65" t="s">
        <v>3726</v>
      </c>
      <c r="O391" s="42" t="s">
        <v>1933</v>
      </c>
      <c r="P391" s="42"/>
      <c r="Q391" s="42"/>
      <c r="R391" s="42"/>
      <c r="S391" s="42"/>
      <c r="T391" s="42"/>
      <c r="U391" s="42" t="s">
        <v>1933</v>
      </c>
      <c r="V391" s="42" t="s">
        <v>1933</v>
      </c>
      <c r="W391" s="42"/>
      <c r="X391" s="42"/>
      <c r="Y391" s="42"/>
      <c r="Z391" s="32" t="s">
        <v>2295</v>
      </c>
    </row>
    <row r="392" spans="1:26" ht="16.95" customHeight="1" x14ac:dyDescent="0.25">
      <c r="A392" s="38" t="s">
        <v>3727</v>
      </c>
      <c r="B392" s="38">
        <v>9</v>
      </c>
      <c r="C392" s="38" t="s">
        <v>2303</v>
      </c>
      <c r="D392" s="38"/>
      <c r="E392" s="38"/>
      <c r="F392" s="39" t="s">
        <v>2338</v>
      </c>
      <c r="G392" s="38" t="s">
        <v>2304</v>
      </c>
      <c r="H392" s="38" t="s">
        <v>2290</v>
      </c>
      <c r="I392" s="38" t="s">
        <v>2291</v>
      </c>
      <c r="J392" s="38" t="s">
        <v>2310</v>
      </c>
      <c r="K392" s="59" t="s">
        <v>3728</v>
      </c>
      <c r="L392" s="60" t="s">
        <v>2292</v>
      </c>
      <c r="M392" s="61" t="s">
        <v>3729</v>
      </c>
      <c r="N392" s="59" t="s">
        <v>3730</v>
      </c>
      <c r="O392" s="38"/>
      <c r="P392" s="38" t="s">
        <v>1933</v>
      </c>
      <c r="Q392" s="38" t="s">
        <v>1933</v>
      </c>
      <c r="R392" s="38"/>
      <c r="S392" s="38"/>
      <c r="T392" s="38"/>
      <c r="U392" s="38"/>
      <c r="V392" s="38"/>
      <c r="W392" s="38"/>
      <c r="X392" s="38"/>
      <c r="Y392" s="38"/>
      <c r="Z392" s="32" t="s">
        <v>2295</v>
      </c>
    </row>
    <row r="393" spans="1:26" ht="16.95" customHeight="1" x14ac:dyDescent="0.25">
      <c r="A393" s="40" t="s">
        <v>3731</v>
      </c>
      <c r="B393" s="40">
        <v>9</v>
      </c>
      <c r="C393" s="40" t="s">
        <v>2308</v>
      </c>
      <c r="D393" s="40"/>
      <c r="E393" s="40" t="s">
        <v>1933</v>
      </c>
      <c r="F393" s="41" t="s">
        <v>2251</v>
      </c>
      <c r="G393" s="40" t="s">
        <v>2309</v>
      </c>
      <c r="H393" s="40" t="s">
        <v>2290</v>
      </c>
      <c r="I393" s="40" t="s">
        <v>2291</v>
      </c>
      <c r="J393" s="40"/>
      <c r="K393" s="62"/>
      <c r="L393" s="63" t="s">
        <v>2299</v>
      </c>
      <c r="M393" s="64" t="s">
        <v>3732</v>
      </c>
      <c r="N393" s="62" t="s">
        <v>3733</v>
      </c>
      <c r="O393" s="40"/>
      <c r="P393" s="40"/>
      <c r="Q393" s="40"/>
      <c r="R393" s="40"/>
      <c r="S393" s="40"/>
      <c r="T393" s="40"/>
      <c r="U393" s="40" t="s">
        <v>1933</v>
      </c>
      <c r="V393" s="40" t="s">
        <v>1933</v>
      </c>
      <c r="W393" s="40"/>
      <c r="X393" s="40"/>
      <c r="Y393" s="40"/>
      <c r="Z393" s="32" t="s">
        <v>2295</v>
      </c>
    </row>
    <row r="394" spans="1:26" ht="16.95" customHeight="1" x14ac:dyDescent="0.25">
      <c r="A394" s="48" t="s">
        <v>3734</v>
      </c>
      <c r="B394" s="48">
        <v>9</v>
      </c>
      <c r="C394" s="48" t="s">
        <v>2342</v>
      </c>
      <c r="D394" s="48"/>
      <c r="E394" s="48"/>
      <c r="F394" s="49" t="s">
        <v>2251</v>
      </c>
      <c r="G394" s="48" t="s">
        <v>2298</v>
      </c>
      <c r="H394" s="48" t="s">
        <v>2290</v>
      </c>
      <c r="I394" s="48"/>
      <c r="J394" s="48"/>
      <c r="K394" s="74"/>
      <c r="L394" s="75" t="s">
        <v>2292</v>
      </c>
      <c r="M394" s="76" t="s">
        <v>3735</v>
      </c>
      <c r="N394" s="74" t="s">
        <v>3736</v>
      </c>
      <c r="O394" s="48"/>
      <c r="P394" s="48"/>
      <c r="Q394" s="48"/>
      <c r="R394" s="48"/>
      <c r="S394" s="48"/>
      <c r="T394" s="48" t="s">
        <v>1933</v>
      </c>
      <c r="U394" s="48"/>
      <c r="V394" s="48" t="s">
        <v>1933</v>
      </c>
      <c r="W394" s="48"/>
      <c r="X394" s="48"/>
      <c r="Y394" s="48"/>
      <c r="Z394" s="32" t="s">
        <v>2295</v>
      </c>
    </row>
    <row r="395" spans="1:26" ht="16.95" customHeight="1" x14ac:dyDescent="0.25">
      <c r="A395" s="34" t="s">
        <v>3737</v>
      </c>
      <c r="B395" s="34">
        <v>1</v>
      </c>
      <c r="C395" s="34" t="s">
        <v>2288</v>
      </c>
      <c r="D395" s="34"/>
      <c r="E395" s="34" t="s">
        <v>1933</v>
      </c>
      <c r="F395" s="35" t="s">
        <v>2251</v>
      </c>
      <c r="G395" s="34" t="s">
        <v>3738</v>
      </c>
      <c r="H395" s="34" t="s">
        <v>2290</v>
      </c>
      <c r="I395" s="34" t="s">
        <v>2291</v>
      </c>
      <c r="J395" s="34" t="s">
        <v>2310</v>
      </c>
      <c r="K395" s="85" t="s">
        <v>3739</v>
      </c>
      <c r="L395" s="54" t="s">
        <v>3740</v>
      </c>
      <c r="M395" s="55" t="s">
        <v>3741</v>
      </c>
      <c r="N395" s="53" t="s">
        <v>3742</v>
      </c>
      <c r="O395" s="34"/>
      <c r="P395" s="34"/>
      <c r="Q395" s="34"/>
      <c r="R395" s="34"/>
      <c r="S395" s="34"/>
      <c r="T395" s="34" t="s">
        <v>1933</v>
      </c>
      <c r="U395" s="34"/>
      <c r="V395" s="34" t="s">
        <v>1933</v>
      </c>
      <c r="W395" s="34" t="s">
        <v>1933</v>
      </c>
      <c r="X395" s="34"/>
      <c r="Y395" s="34"/>
      <c r="Z395" s="32" t="s">
        <v>3743</v>
      </c>
    </row>
    <row r="396" spans="1:26" ht="16.95" customHeight="1" x14ac:dyDescent="0.25">
      <c r="A396" s="44" t="s">
        <v>3744</v>
      </c>
      <c r="B396" s="44">
        <v>2</v>
      </c>
      <c r="C396" s="44" t="s">
        <v>2328</v>
      </c>
      <c r="D396" s="44"/>
      <c r="E396" s="44"/>
      <c r="F396" s="45" t="s">
        <v>2251</v>
      </c>
      <c r="G396" s="44" t="s">
        <v>2457</v>
      </c>
      <c r="H396" s="44" t="s">
        <v>2290</v>
      </c>
      <c r="I396" s="44"/>
      <c r="J396" s="44"/>
      <c r="K396" s="86"/>
      <c r="L396" s="69" t="s">
        <v>2355</v>
      </c>
      <c r="M396" s="70" t="s">
        <v>3745</v>
      </c>
      <c r="N396" s="68" t="s">
        <v>3746</v>
      </c>
      <c r="O396" s="44"/>
      <c r="P396" s="44"/>
      <c r="Q396" s="44"/>
      <c r="R396" s="44"/>
      <c r="S396" s="44"/>
      <c r="T396" s="44" t="s">
        <v>1933</v>
      </c>
      <c r="U396" s="44"/>
      <c r="V396" s="44" t="s">
        <v>1933</v>
      </c>
      <c r="W396" s="44"/>
      <c r="X396" s="44"/>
      <c r="Y396" s="44"/>
      <c r="Z396" s="32" t="s">
        <v>3743</v>
      </c>
    </row>
    <row r="397" spans="1:26" ht="16.95" customHeight="1" x14ac:dyDescent="0.25">
      <c r="A397" s="36" t="s">
        <v>3747</v>
      </c>
      <c r="B397" s="36">
        <v>3</v>
      </c>
      <c r="C397" s="36" t="s">
        <v>2297</v>
      </c>
      <c r="D397" s="36"/>
      <c r="E397" s="36" t="s">
        <v>1933</v>
      </c>
      <c r="F397" s="37" t="s">
        <v>2251</v>
      </c>
      <c r="G397" s="36" t="s">
        <v>2018</v>
      </c>
      <c r="H397" s="36" t="s">
        <v>2290</v>
      </c>
      <c r="I397" s="36"/>
      <c r="J397" s="36"/>
      <c r="K397" s="87"/>
      <c r="L397" s="57" t="s">
        <v>3748</v>
      </c>
      <c r="M397" s="58" t="s">
        <v>3749</v>
      </c>
      <c r="N397" s="56" t="s">
        <v>3750</v>
      </c>
      <c r="O397" s="36" t="s">
        <v>1933</v>
      </c>
      <c r="P397" s="36"/>
      <c r="Q397" s="36"/>
      <c r="R397" s="36"/>
      <c r="S397" s="36"/>
      <c r="T397" s="36" t="s">
        <v>1933</v>
      </c>
      <c r="U397" s="36" t="s">
        <v>1933</v>
      </c>
      <c r="V397" s="36" t="s">
        <v>1933</v>
      </c>
      <c r="W397" s="36" t="s">
        <v>1933</v>
      </c>
      <c r="X397" s="36"/>
      <c r="Y397" s="36"/>
      <c r="Z397" s="32" t="s">
        <v>3743</v>
      </c>
    </row>
    <row r="398" spans="1:26" ht="16.95" customHeight="1" x14ac:dyDescent="0.25">
      <c r="A398" s="38" t="s">
        <v>3751</v>
      </c>
      <c r="B398" s="38">
        <v>3</v>
      </c>
      <c r="C398" s="38" t="s">
        <v>2303</v>
      </c>
      <c r="D398" s="38"/>
      <c r="E398" s="38" t="s">
        <v>1933</v>
      </c>
      <c r="F398" s="39" t="s">
        <v>2370</v>
      </c>
      <c r="G398" s="38" t="s">
        <v>2298</v>
      </c>
      <c r="H398" s="38" t="s">
        <v>2290</v>
      </c>
      <c r="I398" s="38" t="s">
        <v>2291</v>
      </c>
      <c r="J398" s="38"/>
      <c r="K398" s="88"/>
      <c r="L398" s="60" t="s">
        <v>3740</v>
      </c>
      <c r="M398" s="61" t="s">
        <v>3752</v>
      </c>
      <c r="N398" s="59" t="s">
        <v>3753</v>
      </c>
      <c r="O398" s="38"/>
      <c r="P398" s="38" t="s">
        <v>1933</v>
      </c>
      <c r="Q398" s="38"/>
      <c r="R398" s="38" t="s">
        <v>1933</v>
      </c>
      <c r="S398" s="38"/>
      <c r="T398" s="38"/>
      <c r="U398" s="38" t="s">
        <v>1933</v>
      </c>
      <c r="V398" s="38" t="s">
        <v>1933</v>
      </c>
      <c r="W398" s="38"/>
      <c r="X398" s="38"/>
      <c r="Y398" s="38"/>
      <c r="Z398" s="32" t="s">
        <v>3743</v>
      </c>
    </row>
    <row r="399" spans="1:26" ht="16.95" customHeight="1" x14ac:dyDescent="0.25">
      <c r="A399" s="42" t="s">
        <v>3754</v>
      </c>
      <c r="B399" s="42">
        <v>6</v>
      </c>
      <c r="C399" s="42" t="s">
        <v>2315</v>
      </c>
      <c r="D399" s="42"/>
      <c r="E399" s="42" t="s">
        <v>1933</v>
      </c>
      <c r="F399" s="43" t="s">
        <v>2370</v>
      </c>
      <c r="G399" s="42" t="s">
        <v>2298</v>
      </c>
      <c r="H399" s="42" t="s">
        <v>2290</v>
      </c>
      <c r="I399" s="42" t="s">
        <v>2291</v>
      </c>
      <c r="J399" s="42" t="s">
        <v>2310</v>
      </c>
      <c r="K399" s="89" t="s">
        <v>3755</v>
      </c>
      <c r="L399" s="66" t="s">
        <v>3740</v>
      </c>
      <c r="M399" s="67" t="s">
        <v>3756</v>
      </c>
      <c r="N399" s="65" t="s">
        <v>3757</v>
      </c>
      <c r="O399" s="42"/>
      <c r="P399" s="42"/>
      <c r="Q399" s="42"/>
      <c r="R399" s="42"/>
      <c r="S399" s="42"/>
      <c r="T399" s="42" t="s">
        <v>1933</v>
      </c>
      <c r="U399" s="42" t="s">
        <v>1933</v>
      </c>
      <c r="V399" s="42" t="s">
        <v>1933</v>
      </c>
      <c r="W399" s="42"/>
      <c r="X399" s="42"/>
      <c r="Y399" s="42"/>
      <c r="Z399" s="32" t="s">
        <v>3743</v>
      </c>
    </row>
    <row r="400" spans="1:26" ht="16.95" customHeight="1" x14ac:dyDescent="0.25">
      <c r="A400" s="48" t="s">
        <v>3758</v>
      </c>
      <c r="B400" s="48">
        <v>7</v>
      </c>
      <c r="C400" s="48" t="s">
        <v>2342</v>
      </c>
      <c r="D400" s="48"/>
      <c r="E400" s="48"/>
      <c r="F400" s="49" t="s">
        <v>2371</v>
      </c>
      <c r="G400" s="48" t="s">
        <v>3759</v>
      </c>
      <c r="H400" s="48" t="s">
        <v>2290</v>
      </c>
      <c r="I400" s="48" t="s">
        <v>2291</v>
      </c>
      <c r="J400" s="48" t="s">
        <v>2310</v>
      </c>
      <c r="K400" s="90" t="s">
        <v>3760</v>
      </c>
      <c r="L400" s="75" t="s">
        <v>3761</v>
      </c>
      <c r="M400" s="76" t="s">
        <v>3762</v>
      </c>
      <c r="N400" s="74" t="s">
        <v>3763</v>
      </c>
      <c r="O400" s="48" t="s">
        <v>1933</v>
      </c>
      <c r="P400" s="48"/>
      <c r="Q400" s="48"/>
      <c r="R400" s="48"/>
      <c r="S400" s="48"/>
      <c r="T400" s="48" t="s">
        <v>1933</v>
      </c>
      <c r="U400" s="48" t="s">
        <v>1933</v>
      </c>
      <c r="V400" s="48" t="s">
        <v>1933</v>
      </c>
      <c r="W400" s="48"/>
      <c r="X400" s="48"/>
      <c r="Y400" s="48"/>
      <c r="Z400" s="32" t="s">
        <v>3743</v>
      </c>
    </row>
    <row r="401" spans="1:26" ht="16.95" customHeight="1" x14ac:dyDescent="0.25">
      <c r="A401" s="48" t="s">
        <v>3764</v>
      </c>
      <c r="B401" s="48">
        <v>9</v>
      </c>
      <c r="C401" s="48" t="s">
        <v>2342</v>
      </c>
      <c r="D401" s="48"/>
      <c r="E401" s="48" t="s">
        <v>1933</v>
      </c>
      <c r="F401" s="49" t="s">
        <v>2370</v>
      </c>
      <c r="G401" s="48" t="s">
        <v>2289</v>
      </c>
      <c r="H401" s="48" t="s">
        <v>2290</v>
      </c>
      <c r="I401" s="48" t="s">
        <v>2291</v>
      </c>
      <c r="J401" s="48"/>
      <c r="K401" s="90"/>
      <c r="L401" s="75" t="s">
        <v>3740</v>
      </c>
      <c r="M401" s="76" t="s">
        <v>3765</v>
      </c>
      <c r="N401" s="74" t="s">
        <v>3766</v>
      </c>
      <c r="O401" s="48"/>
      <c r="P401" s="48"/>
      <c r="Q401" s="48"/>
      <c r="R401" s="48"/>
      <c r="S401" s="48"/>
      <c r="T401" s="48" t="s">
        <v>1933</v>
      </c>
      <c r="U401" s="48" t="s">
        <v>1933</v>
      </c>
      <c r="V401" s="48" t="s">
        <v>1933</v>
      </c>
      <c r="W401" s="48"/>
      <c r="X401" s="48"/>
      <c r="Y401" s="48"/>
      <c r="Z401" s="32" t="s">
        <v>3743</v>
      </c>
    </row>
    <row r="402" spans="1:26" ht="16.95" customHeight="1" x14ac:dyDescent="0.25">
      <c r="A402" s="34" t="s">
        <v>3767</v>
      </c>
      <c r="B402" s="34">
        <v>0</v>
      </c>
      <c r="C402" s="34" t="s">
        <v>2288</v>
      </c>
      <c r="D402" s="34"/>
      <c r="E402" s="34"/>
      <c r="F402" s="35" t="s">
        <v>2251</v>
      </c>
      <c r="G402" s="34" t="s">
        <v>2394</v>
      </c>
      <c r="H402" s="34" t="s">
        <v>2290</v>
      </c>
      <c r="I402" s="34"/>
      <c r="J402" s="34"/>
      <c r="K402" s="85"/>
      <c r="L402" s="54" t="s">
        <v>2292</v>
      </c>
      <c r="M402" s="55" t="s">
        <v>3768</v>
      </c>
      <c r="N402" s="53" t="s">
        <v>3769</v>
      </c>
      <c r="O402" s="34"/>
      <c r="P402" s="34"/>
      <c r="Q402" s="34"/>
      <c r="R402" s="34"/>
      <c r="S402" s="34"/>
      <c r="T402" s="34" t="s">
        <v>1933</v>
      </c>
      <c r="U402" s="34" t="s">
        <v>1933</v>
      </c>
      <c r="V402" s="34" t="s">
        <v>1933</v>
      </c>
      <c r="W402" s="34" t="s">
        <v>1933</v>
      </c>
      <c r="X402" s="34"/>
      <c r="Y402" s="34"/>
      <c r="Z402" s="32" t="s">
        <v>3770</v>
      </c>
    </row>
    <row r="403" spans="1:26" ht="16.95" customHeight="1" x14ac:dyDescent="0.25">
      <c r="A403" s="48" t="s">
        <v>3771</v>
      </c>
      <c r="B403" s="48">
        <v>0</v>
      </c>
      <c r="C403" s="48" t="s">
        <v>2342</v>
      </c>
      <c r="D403" s="48"/>
      <c r="E403" s="48"/>
      <c r="F403" s="49" t="s">
        <v>2251</v>
      </c>
      <c r="G403" s="48" t="s">
        <v>3772</v>
      </c>
      <c r="H403" s="48" t="s">
        <v>2290</v>
      </c>
      <c r="I403" s="48"/>
      <c r="J403" s="48"/>
      <c r="K403" s="90"/>
      <c r="L403" s="75" t="s">
        <v>2292</v>
      </c>
      <c r="M403" s="76" t="s">
        <v>3773</v>
      </c>
      <c r="N403" s="74" t="s">
        <v>3774</v>
      </c>
      <c r="O403" s="48"/>
      <c r="P403" s="48"/>
      <c r="Q403" s="48"/>
      <c r="R403" s="48"/>
      <c r="S403" s="48"/>
      <c r="T403" s="48" t="s">
        <v>1933</v>
      </c>
      <c r="U403" s="48" t="s">
        <v>1933</v>
      </c>
      <c r="V403" s="48" t="s">
        <v>1933</v>
      </c>
      <c r="W403" s="48" t="s">
        <v>1933</v>
      </c>
      <c r="X403" s="48"/>
      <c r="Y403" s="48"/>
      <c r="Z403" s="32" t="s">
        <v>3770</v>
      </c>
    </row>
    <row r="404" spans="1:26" ht="16.95" customHeight="1" x14ac:dyDescent="0.25">
      <c r="A404" s="34" t="s">
        <v>3775</v>
      </c>
      <c r="B404" s="34">
        <v>0</v>
      </c>
      <c r="C404" s="34" t="s">
        <v>2288</v>
      </c>
      <c r="D404" s="83"/>
      <c r="E404" s="83"/>
      <c r="F404" s="35" t="s">
        <v>2251</v>
      </c>
      <c r="G404" s="34" t="s">
        <v>3772</v>
      </c>
      <c r="H404" s="34"/>
      <c r="I404" s="34" t="s">
        <v>2291</v>
      </c>
      <c r="J404" s="34" t="s">
        <v>2310</v>
      </c>
      <c r="K404" s="83" t="s">
        <v>3776</v>
      </c>
      <c r="L404" s="54" t="s">
        <v>2355</v>
      </c>
      <c r="M404" s="55" t="s">
        <v>3777</v>
      </c>
      <c r="N404" s="91" t="s">
        <v>3778</v>
      </c>
      <c r="O404" s="34"/>
      <c r="P404" s="34"/>
      <c r="Q404" s="34"/>
      <c r="R404" s="34"/>
      <c r="S404" s="34"/>
      <c r="T404" s="34" t="s">
        <v>1933</v>
      </c>
      <c r="U404" s="34" t="s">
        <v>1933</v>
      </c>
      <c r="V404" s="34" t="s">
        <v>1933</v>
      </c>
      <c r="W404" s="34" t="s">
        <v>1933</v>
      </c>
      <c r="X404" s="34"/>
      <c r="Y404" s="83"/>
      <c r="Z404" s="32" t="s">
        <v>3770</v>
      </c>
    </row>
    <row r="405" spans="1:26" ht="16.95" customHeight="1" x14ac:dyDescent="0.25">
      <c r="A405" s="34" t="s">
        <v>3779</v>
      </c>
      <c r="B405" s="34">
        <v>0</v>
      </c>
      <c r="C405" s="34" t="s">
        <v>2288</v>
      </c>
      <c r="D405" s="83"/>
      <c r="E405" s="83"/>
      <c r="F405" s="35" t="s">
        <v>2251</v>
      </c>
      <c r="G405" s="34" t="s">
        <v>3772</v>
      </c>
      <c r="H405" s="34"/>
      <c r="I405" s="34" t="s">
        <v>2291</v>
      </c>
      <c r="J405" s="34" t="s">
        <v>2310</v>
      </c>
      <c r="K405" s="83" t="s">
        <v>3776</v>
      </c>
      <c r="L405" s="54" t="s">
        <v>2292</v>
      </c>
      <c r="M405" s="55" t="s">
        <v>3780</v>
      </c>
      <c r="N405" s="91" t="s">
        <v>3781</v>
      </c>
      <c r="O405" s="34"/>
      <c r="P405" s="34"/>
      <c r="Q405" s="34"/>
      <c r="R405" s="34"/>
      <c r="S405" s="34"/>
      <c r="T405" s="34" t="s">
        <v>1933</v>
      </c>
      <c r="U405" s="34" t="s">
        <v>1933</v>
      </c>
      <c r="V405" s="34" t="s">
        <v>1933</v>
      </c>
      <c r="W405" s="34" t="s">
        <v>1933</v>
      </c>
      <c r="X405" s="34"/>
      <c r="Y405" s="83"/>
      <c r="Z405" s="32" t="s">
        <v>3770</v>
      </c>
    </row>
    <row r="406" spans="1:26" ht="16.95" customHeight="1" x14ac:dyDescent="0.25">
      <c r="A406" s="42" t="s">
        <v>3782</v>
      </c>
      <c r="B406" s="42">
        <v>0</v>
      </c>
      <c r="C406" s="42" t="s">
        <v>2315</v>
      </c>
      <c r="D406" s="42"/>
      <c r="E406" s="42"/>
      <c r="F406" s="43" t="s">
        <v>2251</v>
      </c>
      <c r="G406" s="42" t="s">
        <v>2289</v>
      </c>
      <c r="H406" s="42"/>
      <c r="I406" s="42" t="s">
        <v>2291</v>
      </c>
      <c r="J406" s="42"/>
      <c r="K406" s="89"/>
      <c r="L406" s="66" t="s">
        <v>3783</v>
      </c>
      <c r="M406" s="67" t="s">
        <v>3784</v>
      </c>
      <c r="N406" s="65" t="s">
        <v>3785</v>
      </c>
      <c r="O406" s="42"/>
      <c r="P406" s="42"/>
      <c r="Q406" s="42" t="s">
        <v>1933</v>
      </c>
      <c r="R406" s="42"/>
      <c r="S406" s="42"/>
      <c r="T406" s="42" t="s">
        <v>1933</v>
      </c>
      <c r="U406" s="42"/>
      <c r="V406" s="42" t="s">
        <v>1933</v>
      </c>
      <c r="W406" s="42"/>
      <c r="X406" s="42"/>
      <c r="Y406" s="42"/>
      <c r="Z406" s="94" t="s">
        <v>3786</v>
      </c>
    </row>
    <row r="407" spans="1:26" ht="16.95" customHeight="1" x14ac:dyDescent="0.25">
      <c r="A407" s="48" t="s">
        <v>3787</v>
      </c>
      <c r="B407" s="48">
        <v>0</v>
      </c>
      <c r="C407" s="48" t="s">
        <v>2342</v>
      </c>
      <c r="D407" s="48"/>
      <c r="E407" s="48" t="s">
        <v>1933</v>
      </c>
      <c r="F407" s="49" t="s">
        <v>2251</v>
      </c>
      <c r="G407" s="48" t="s">
        <v>2289</v>
      </c>
      <c r="H407" s="48" t="s">
        <v>2290</v>
      </c>
      <c r="I407" s="48" t="s">
        <v>2291</v>
      </c>
      <c r="J407" s="48"/>
      <c r="K407" s="90"/>
      <c r="L407" s="75" t="s">
        <v>3740</v>
      </c>
      <c r="M407" s="76" t="s">
        <v>3788</v>
      </c>
      <c r="N407" s="74" t="s">
        <v>3789</v>
      </c>
      <c r="O407" s="48"/>
      <c r="P407" s="48"/>
      <c r="Q407" s="48" t="s">
        <v>1933</v>
      </c>
      <c r="R407" s="48"/>
      <c r="S407" s="48"/>
      <c r="T407" s="48" t="s">
        <v>1933</v>
      </c>
      <c r="U407" s="48" t="s">
        <v>1933</v>
      </c>
      <c r="V407" s="48" t="s">
        <v>1933</v>
      </c>
      <c r="W407" s="48" t="s">
        <v>1933</v>
      </c>
      <c r="X407" s="48"/>
      <c r="Y407" s="48"/>
      <c r="Z407" s="94" t="s">
        <v>3786</v>
      </c>
    </row>
    <row r="408" spans="1:26" ht="16.95" customHeight="1" x14ac:dyDescent="0.25">
      <c r="A408" s="34" t="s">
        <v>3790</v>
      </c>
      <c r="B408" s="34">
        <v>0</v>
      </c>
      <c r="C408" s="34" t="s">
        <v>2288</v>
      </c>
      <c r="D408" s="34"/>
      <c r="E408" s="34"/>
      <c r="F408" s="35" t="s">
        <v>2251</v>
      </c>
      <c r="G408" s="34" t="s">
        <v>2289</v>
      </c>
      <c r="H408" s="34" t="s">
        <v>2290</v>
      </c>
      <c r="I408" s="34" t="s">
        <v>2291</v>
      </c>
      <c r="J408" s="34"/>
      <c r="K408" s="85"/>
      <c r="L408" s="54" t="s">
        <v>2292</v>
      </c>
      <c r="M408" s="55" t="s">
        <v>3791</v>
      </c>
      <c r="N408" s="53" t="s">
        <v>3792</v>
      </c>
      <c r="O408" s="34"/>
      <c r="P408" s="34"/>
      <c r="Q408" s="34" t="s">
        <v>1933</v>
      </c>
      <c r="R408" s="34"/>
      <c r="S408" s="34"/>
      <c r="T408" s="34" t="s">
        <v>1933</v>
      </c>
      <c r="U408" s="34" t="s">
        <v>1933</v>
      </c>
      <c r="V408" s="34" t="s">
        <v>1933</v>
      </c>
      <c r="W408" s="34" t="s">
        <v>1933</v>
      </c>
      <c r="X408" s="34"/>
      <c r="Y408" s="34"/>
      <c r="Z408" s="94" t="s">
        <v>3786</v>
      </c>
    </row>
    <row r="409" spans="1:26" ht="16.95" customHeight="1" x14ac:dyDescent="0.25">
      <c r="A409" s="42" t="s">
        <v>3793</v>
      </c>
      <c r="B409" s="42">
        <v>0</v>
      </c>
      <c r="C409" s="42" t="s">
        <v>2315</v>
      </c>
      <c r="D409" s="42"/>
      <c r="E409" s="42"/>
      <c r="F409" s="43" t="s">
        <v>2251</v>
      </c>
      <c r="G409" s="42" t="s">
        <v>2018</v>
      </c>
      <c r="H409" s="42" t="s">
        <v>2290</v>
      </c>
      <c r="I409" s="42" t="s">
        <v>2291</v>
      </c>
      <c r="J409" s="42"/>
      <c r="K409" s="89"/>
      <c r="L409" s="66" t="s">
        <v>2292</v>
      </c>
      <c r="M409" s="67" t="s">
        <v>3794</v>
      </c>
      <c r="N409" s="65" t="s">
        <v>3795</v>
      </c>
      <c r="O409" s="42"/>
      <c r="P409" s="42"/>
      <c r="Q409" s="42" t="s">
        <v>1933</v>
      </c>
      <c r="R409" s="42"/>
      <c r="S409" s="42"/>
      <c r="T409" s="42" t="s">
        <v>1933</v>
      </c>
      <c r="U409" s="42"/>
      <c r="V409" s="42" t="s">
        <v>1933</v>
      </c>
      <c r="W409" s="42"/>
      <c r="X409" s="42"/>
      <c r="Y409" s="42"/>
      <c r="Z409" s="94" t="s">
        <v>3786</v>
      </c>
    </row>
    <row r="410" spans="1:26" ht="16.95" customHeight="1" x14ac:dyDescent="0.25">
      <c r="A410" s="48" t="s">
        <v>3796</v>
      </c>
      <c r="B410" s="48">
        <v>0</v>
      </c>
      <c r="C410" s="48" t="s">
        <v>2342</v>
      </c>
      <c r="D410" s="48"/>
      <c r="E410" s="48"/>
      <c r="F410" s="49" t="s">
        <v>2251</v>
      </c>
      <c r="G410" s="48" t="s">
        <v>2018</v>
      </c>
      <c r="H410" s="48" t="s">
        <v>2290</v>
      </c>
      <c r="I410" s="48" t="s">
        <v>2291</v>
      </c>
      <c r="J410" s="48" t="s">
        <v>2310</v>
      </c>
      <c r="K410" s="90" t="s">
        <v>3797</v>
      </c>
      <c r="L410" s="75" t="s">
        <v>2292</v>
      </c>
      <c r="M410" s="76" t="s">
        <v>3798</v>
      </c>
      <c r="N410" s="74" t="s">
        <v>3799</v>
      </c>
      <c r="O410" s="48"/>
      <c r="P410" s="48"/>
      <c r="Q410" s="48" t="s">
        <v>1933</v>
      </c>
      <c r="R410" s="48"/>
      <c r="S410" s="48"/>
      <c r="T410" s="48" t="s">
        <v>1933</v>
      </c>
      <c r="U410" s="48" t="s">
        <v>1933</v>
      </c>
      <c r="V410" s="48" t="s">
        <v>1933</v>
      </c>
      <c r="W410" s="48"/>
      <c r="X410" s="48"/>
      <c r="Y410" s="48"/>
      <c r="Z410" s="94" t="s">
        <v>3786</v>
      </c>
    </row>
    <row r="411" spans="1:26" ht="16.95" customHeight="1" x14ac:dyDescent="0.25">
      <c r="A411" s="42" t="s">
        <v>3800</v>
      </c>
      <c r="B411" s="42">
        <v>0</v>
      </c>
      <c r="C411" s="42" t="s">
        <v>2315</v>
      </c>
      <c r="D411" s="42"/>
      <c r="E411" s="42"/>
      <c r="F411" s="43" t="s">
        <v>2370</v>
      </c>
      <c r="G411" s="42" t="s">
        <v>3801</v>
      </c>
      <c r="H411" s="42" t="s">
        <v>2290</v>
      </c>
      <c r="I411" s="42" t="s">
        <v>2291</v>
      </c>
      <c r="J411" s="42"/>
      <c r="K411" s="89"/>
      <c r="L411" s="66" t="s">
        <v>2343</v>
      </c>
      <c r="M411" s="67" t="s">
        <v>3802</v>
      </c>
      <c r="N411" s="65" t="s">
        <v>3803</v>
      </c>
      <c r="O411" s="42"/>
      <c r="P411" s="42"/>
      <c r="Q411" s="42" t="s">
        <v>1933</v>
      </c>
      <c r="R411" s="42"/>
      <c r="S411" s="42"/>
      <c r="T411" s="42"/>
      <c r="U411" s="42" t="s">
        <v>1933</v>
      </c>
      <c r="V411" s="42"/>
      <c r="W411" s="42" t="s">
        <v>1933</v>
      </c>
      <c r="X411" s="42"/>
      <c r="Y411" s="42"/>
      <c r="Z411" s="94" t="s">
        <v>3786</v>
      </c>
    </row>
    <row r="412" spans="1:26" ht="16.95" customHeight="1" x14ac:dyDescent="0.25">
      <c r="A412" s="42" t="s">
        <v>3804</v>
      </c>
      <c r="B412" s="42">
        <v>0</v>
      </c>
      <c r="C412" s="42" t="s">
        <v>2315</v>
      </c>
      <c r="D412" s="42"/>
      <c r="E412" s="42"/>
      <c r="F412" s="43" t="s">
        <v>2251</v>
      </c>
      <c r="G412" s="42" t="s">
        <v>2018</v>
      </c>
      <c r="H412" s="42"/>
      <c r="I412" s="42" t="s">
        <v>2291</v>
      </c>
      <c r="J412" s="42"/>
      <c r="K412" s="89"/>
      <c r="L412" s="66" t="s">
        <v>3783</v>
      </c>
      <c r="M412" s="67" t="s">
        <v>3805</v>
      </c>
      <c r="N412" s="65" t="s">
        <v>3806</v>
      </c>
      <c r="O412" s="42"/>
      <c r="P412" s="42"/>
      <c r="Q412" s="42" t="s">
        <v>1933</v>
      </c>
      <c r="R412" s="42"/>
      <c r="S412" s="42"/>
      <c r="T412" s="42" t="s">
        <v>1933</v>
      </c>
      <c r="U412" s="42"/>
      <c r="V412" s="42" t="s">
        <v>1933</v>
      </c>
      <c r="W412" s="42"/>
      <c r="X412" s="42"/>
      <c r="Y412" s="42"/>
      <c r="Z412" s="94" t="s">
        <v>3786</v>
      </c>
    </row>
    <row r="413" spans="1:26" ht="16.95" customHeight="1" x14ac:dyDescent="0.25">
      <c r="A413" s="42" t="s">
        <v>3807</v>
      </c>
      <c r="B413" s="42">
        <v>0</v>
      </c>
      <c r="C413" s="42" t="s">
        <v>2315</v>
      </c>
      <c r="D413" s="42"/>
      <c r="E413" s="42"/>
      <c r="F413" s="43" t="s">
        <v>2251</v>
      </c>
      <c r="G413" s="42" t="s">
        <v>2298</v>
      </c>
      <c r="H413" s="42"/>
      <c r="I413" s="42" t="s">
        <v>2291</v>
      </c>
      <c r="J413" s="42"/>
      <c r="K413" s="89"/>
      <c r="L413" s="66" t="s">
        <v>2292</v>
      </c>
      <c r="M413" s="67" t="s">
        <v>3808</v>
      </c>
      <c r="N413" s="65" t="s">
        <v>3809</v>
      </c>
      <c r="O413" s="42"/>
      <c r="P413" s="42"/>
      <c r="Q413" s="42" t="s">
        <v>1933</v>
      </c>
      <c r="R413" s="42"/>
      <c r="S413" s="42"/>
      <c r="T413" s="42"/>
      <c r="U413" s="42"/>
      <c r="V413" s="42"/>
      <c r="W413" s="42"/>
      <c r="X413" s="42"/>
      <c r="Y413" s="42"/>
      <c r="Z413" s="94" t="s">
        <v>3786</v>
      </c>
    </row>
    <row r="414" spans="1:26" ht="16.95" customHeight="1" x14ac:dyDescent="0.25">
      <c r="A414" s="42" t="s">
        <v>3810</v>
      </c>
      <c r="B414" s="42">
        <v>0</v>
      </c>
      <c r="C414" s="42" t="s">
        <v>2315</v>
      </c>
      <c r="D414" s="42"/>
      <c r="E414" s="42"/>
      <c r="F414" s="43" t="s">
        <v>2251</v>
      </c>
      <c r="G414" s="42" t="s">
        <v>2018</v>
      </c>
      <c r="H414" s="42"/>
      <c r="I414" s="42" t="s">
        <v>2291</v>
      </c>
      <c r="J414" s="42"/>
      <c r="K414" s="89"/>
      <c r="L414" s="66" t="s">
        <v>3783</v>
      </c>
      <c r="M414" s="67" t="s">
        <v>3811</v>
      </c>
      <c r="N414" s="65" t="s">
        <v>3812</v>
      </c>
      <c r="O414" s="42"/>
      <c r="P414" s="42"/>
      <c r="Q414" s="42" t="s">
        <v>1933</v>
      </c>
      <c r="R414" s="42"/>
      <c r="S414" s="42"/>
      <c r="T414" s="42" t="s">
        <v>1933</v>
      </c>
      <c r="U414" s="42"/>
      <c r="V414" s="42" t="s">
        <v>1933</v>
      </c>
      <c r="W414" s="42"/>
      <c r="X414" s="42"/>
      <c r="Y414" s="42"/>
      <c r="Z414" s="94" t="s">
        <v>3786</v>
      </c>
    </row>
    <row r="415" spans="1:26" ht="16.95" customHeight="1" x14ac:dyDescent="0.25">
      <c r="A415" s="36" t="s">
        <v>3813</v>
      </c>
      <c r="B415" s="36">
        <v>1</v>
      </c>
      <c r="C415" s="36" t="s">
        <v>2297</v>
      </c>
      <c r="D415" s="36"/>
      <c r="E415" s="36"/>
      <c r="F415" s="37" t="s">
        <v>3814</v>
      </c>
      <c r="G415" s="36" t="s">
        <v>2298</v>
      </c>
      <c r="H415" s="36"/>
      <c r="I415" s="36" t="s">
        <v>2291</v>
      </c>
      <c r="J415" s="36"/>
      <c r="K415" s="87"/>
      <c r="L415" s="57" t="s">
        <v>2355</v>
      </c>
      <c r="M415" s="58" t="s">
        <v>3815</v>
      </c>
      <c r="N415" s="56" t="s">
        <v>3816</v>
      </c>
      <c r="O415" s="36"/>
      <c r="P415" s="36"/>
      <c r="Q415" s="36" t="s">
        <v>1933</v>
      </c>
      <c r="R415" s="36"/>
      <c r="S415" s="36" t="s">
        <v>1933</v>
      </c>
      <c r="T415" s="36" t="s">
        <v>1933</v>
      </c>
      <c r="U415" s="36"/>
      <c r="V415" s="36" t="s">
        <v>1933</v>
      </c>
      <c r="W415" s="36" t="s">
        <v>1933</v>
      </c>
      <c r="X415" s="36"/>
      <c r="Y415" s="36"/>
      <c r="Z415" s="94" t="s">
        <v>3786</v>
      </c>
    </row>
    <row r="416" spans="1:26" ht="16.95" customHeight="1" x14ac:dyDescent="0.25">
      <c r="A416" s="46" t="s">
        <v>3817</v>
      </c>
      <c r="B416" s="46">
        <v>1</v>
      </c>
      <c r="C416" s="46" t="s">
        <v>2334</v>
      </c>
      <c r="D416" s="46"/>
      <c r="E416" s="46" t="s">
        <v>1933</v>
      </c>
      <c r="F416" s="47" t="s">
        <v>2251</v>
      </c>
      <c r="G416" s="46" t="s">
        <v>3801</v>
      </c>
      <c r="H416" s="46" t="s">
        <v>2290</v>
      </c>
      <c r="I416" s="46" t="s">
        <v>2291</v>
      </c>
      <c r="J416" s="46" t="s">
        <v>2310</v>
      </c>
      <c r="K416" s="92" t="s">
        <v>3818</v>
      </c>
      <c r="L416" s="72" t="s">
        <v>3819</v>
      </c>
      <c r="M416" s="73" t="s">
        <v>3820</v>
      </c>
      <c r="N416" s="71" t="s">
        <v>3821</v>
      </c>
      <c r="O416" s="46"/>
      <c r="P416" s="46"/>
      <c r="Q416" s="46" t="s">
        <v>1933</v>
      </c>
      <c r="R416" s="46"/>
      <c r="S416" s="46" t="s">
        <v>1933</v>
      </c>
      <c r="T416" s="46"/>
      <c r="U416" s="46"/>
      <c r="V416" s="46"/>
      <c r="W416" s="46"/>
      <c r="X416" s="46"/>
      <c r="Y416" s="46"/>
      <c r="Z416" s="94" t="s">
        <v>3786</v>
      </c>
    </row>
    <row r="417" spans="1:26" ht="16.95" customHeight="1" x14ac:dyDescent="0.25">
      <c r="A417" s="42" t="s">
        <v>3822</v>
      </c>
      <c r="B417" s="42">
        <v>1</v>
      </c>
      <c r="C417" s="42" t="s">
        <v>2315</v>
      </c>
      <c r="D417" s="42"/>
      <c r="E417" s="42"/>
      <c r="F417" s="43" t="s">
        <v>2251</v>
      </c>
      <c r="G417" s="42" t="s">
        <v>2289</v>
      </c>
      <c r="H417" s="42"/>
      <c r="I417" s="42" t="s">
        <v>2291</v>
      </c>
      <c r="J417" s="42"/>
      <c r="K417" s="89"/>
      <c r="L417" s="66" t="s">
        <v>2292</v>
      </c>
      <c r="M417" s="67" t="s">
        <v>3823</v>
      </c>
      <c r="N417" s="65" t="s">
        <v>3824</v>
      </c>
      <c r="O417" s="42"/>
      <c r="P417" s="42"/>
      <c r="Q417" s="42"/>
      <c r="R417" s="42"/>
      <c r="S417" s="42"/>
      <c r="T417" s="42" t="s">
        <v>1933</v>
      </c>
      <c r="U417" s="42"/>
      <c r="V417" s="42" t="s">
        <v>1933</v>
      </c>
      <c r="W417" s="42" t="s">
        <v>1933</v>
      </c>
      <c r="X417" s="42"/>
      <c r="Y417" s="42"/>
      <c r="Z417" s="94" t="s">
        <v>3786</v>
      </c>
    </row>
    <row r="418" spans="1:26" ht="16.95" customHeight="1" x14ac:dyDescent="0.25">
      <c r="A418" s="38" t="s">
        <v>3825</v>
      </c>
      <c r="B418" s="38">
        <v>1</v>
      </c>
      <c r="C418" s="38" t="s">
        <v>2303</v>
      </c>
      <c r="D418" s="38"/>
      <c r="E418" s="38" t="s">
        <v>1933</v>
      </c>
      <c r="F418" s="39" t="s">
        <v>2251</v>
      </c>
      <c r="G418" s="38" t="s">
        <v>2289</v>
      </c>
      <c r="H418" s="38" t="s">
        <v>2290</v>
      </c>
      <c r="I418" s="38"/>
      <c r="J418" s="38"/>
      <c r="K418" s="88"/>
      <c r="L418" s="60" t="s">
        <v>3740</v>
      </c>
      <c r="M418" s="61" t="s">
        <v>3826</v>
      </c>
      <c r="N418" s="59" t="s">
        <v>3827</v>
      </c>
      <c r="O418" s="38"/>
      <c r="P418" s="38"/>
      <c r="Q418" s="38"/>
      <c r="R418" s="38"/>
      <c r="S418" s="38"/>
      <c r="T418" s="38"/>
      <c r="U418" s="38" t="s">
        <v>1933</v>
      </c>
      <c r="V418" s="38" t="s">
        <v>1933</v>
      </c>
      <c r="W418" s="38"/>
      <c r="X418" s="38"/>
      <c r="Y418" s="38"/>
      <c r="Z418" s="94" t="s">
        <v>3786</v>
      </c>
    </row>
    <row r="419" spans="1:26" ht="16.95" customHeight="1" x14ac:dyDescent="0.25">
      <c r="A419" s="36" t="s">
        <v>3828</v>
      </c>
      <c r="B419" s="36">
        <v>1</v>
      </c>
      <c r="C419" s="36" t="s">
        <v>2297</v>
      </c>
      <c r="D419" s="36" t="s">
        <v>1933</v>
      </c>
      <c r="E419" s="36"/>
      <c r="F419" s="37" t="s">
        <v>4401</v>
      </c>
      <c r="G419" s="36" t="s">
        <v>3801</v>
      </c>
      <c r="H419" s="36" t="s">
        <v>2290</v>
      </c>
      <c r="I419" s="36" t="s">
        <v>2291</v>
      </c>
      <c r="J419" s="36" t="s">
        <v>2310</v>
      </c>
      <c r="K419" s="87" t="s">
        <v>3829</v>
      </c>
      <c r="L419" s="57" t="s">
        <v>2292</v>
      </c>
      <c r="M419" s="58" t="s">
        <v>3830</v>
      </c>
      <c r="N419" s="56" t="s">
        <v>3831</v>
      </c>
      <c r="O419" s="36"/>
      <c r="P419" s="36" t="s">
        <v>1933</v>
      </c>
      <c r="Q419" s="36"/>
      <c r="R419" s="36" t="s">
        <v>1933</v>
      </c>
      <c r="S419" s="36"/>
      <c r="T419" s="36"/>
      <c r="U419" s="36"/>
      <c r="V419" s="36"/>
      <c r="W419" s="36"/>
      <c r="X419" s="36"/>
      <c r="Y419" s="36"/>
      <c r="Z419" s="94" t="s">
        <v>3786</v>
      </c>
    </row>
    <row r="420" spans="1:26" ht="16.95" customHeight="1" x14ac:dyDescent="0.25">
      <c r="A420" s="34" t="s">
        <v>3832</v>
      </c>
      <c r="B420" s="34">
        <v>1</v>
      </c>
      <c r="C420" s="34" t="s">
        <v>2288</v>
      </c>
      <c r="D420" s="34"/>
      <c r="E420" s="34"/>
      <c r="F420" s="35" t="s">
        <v>2251</v>
      </c>
      <c r="G420" s="34" t="s">
        <v>2309</v>
      </c>
      <c r="H420" s="34" t="s">
        <v>2290</v>
      </c>
      <c r="I420" s="34" t="s">
        <v>2291</v>
      </c>
      <c r="J420" s="34"/>
      <c r="K420" s="85"/>
      <c r="L420" s="54" t="s">
        <v>2292</v>
      </c>
      <c r="M420" s="55" t="s">
        <v>3833</v>
      </c>
      <c r="N420" s="53" t="s">
        <v>3834</v>
      </c>
      <c r="O420" s="34"/>
      <c r="P420" s="34"/>
      <c r="Q420" s="34"/>
      <c r="R420" s="34"/>
      <c r="S420" s="34"/>
      <c r="T420" s="34" t="s">
        <v>1933</v>
      </c>
      <c r="U420" s="34"/>
      <c r="V420" s="34"/>
      <c r="W420" s="34"/>
      <c r="X420" s="34"/>
      <c r="Y420" s="34"/>
      <c r="Z420" s="94" t="s">
        <v>3786</v>
      </c>
    </row>
    <row r="421" spans="1:26" ht="16.95" customHeight="1" x14ac:dyDescent="0.25">
      <c r="A421" s="34" t="s">
        <v>3835</v>
      </c>
      <c r="B421" s="34">
        <v>1</v>
      </c>
      <c r="C421" s="34" t="s">
        <v>2288</v>
      </c>
      <c r="D421" s="34"/>
      <c r="E421" s="34"/>
      <c r="F421" s="35" t="s">
        <v>2251</v>
      </c>
      <c r="G421" s="34" t="s">
        <v>3836</v>
      </c>
      <c r="H421" s="34" t="s">
        <v>2290</v>
      </c>
      <c r="I421" s="34" t="s">
        <v>2291</v>
      </c>
      <c r="J421" s="34"/>
      <c r="K421" s="85"/>
      <c r="L421" s="54" t="s">
        <v>2292</v>
      </c>
      <c r="M421" s="55" t="s">
        <v>3837</v>
      </c>
      <c r="N421" s="53" t="s">
        <v>3838</v>
      </c>
      <c r="O421" s="34" t="s">
        <v>1933</v>
      </c>
      <c r="P421" s="34"/>
      <c r="Q421" s="34" t="s">
        <v>1933</v>
      </c>
      <c r="R421" s="34"/>
      <c r="S421" s="34"/>
      <c r="T421" s="34" t="s">
        <v>1933</v>
      </c>
      <c r="U421" s="34"/>
      <c r="V421" s="34" t="s">
        <v>1933</v>
      </c>
      <c r="W421" s="34"/>
      <c r="X421" s="34"/>
      <c r="Y421" s="34"/>
      <c r="Z421" s="94" t="s">
        <v>3786</v>
      </c>
    </row>
    <row r="422" spans="1:26" ht="16.95" customHeight="1" x14ac:dyDescent="0.25">
      <c r="A422" s="48" t="s">
        <v>2568</v>
      </c>
      <c r="B422" s="48">
        <v>1</v>
      </c>
      <c r="C422" s="48" t="s">
        <v>2342</v>
      </c>
      <c r="D422" s="48"/>
      <c r="E422" s="48"/>
      <c r="F422" s="49" t="s">
        <v>2251</v>
      </c>
      <c r="G422" s="48" t="s">
        <v>2289</v>
      </c>
      <c r="H422" s="48"/>
      <c r="I422" s="48" t="s">
        <v>2291</v>
      </c>
      <c r="J422" s="48" t="s">
        <v>2310</v>
      </c>
      <c r="K422" s="90" t="s">
        <v>2569</v>
      </c>
      <c r="L422" s="75" t="s">
        <v>2292</v>
      </c>
      <c r="M422" s="76" t="s">
        <v>3839</v>
      </c>
      <c r="N422" s="74" t="s">
        <v>2571</v>
      </c>
      <c r="O422" s="48"/>
      <c r="P422" s="48"/>
      <c r="Q422" s="48" t="s">
        <v>1933</v>
      </c>
      <c r="R422" s="48"/>
      <c r="S422" s="48"/>
      <c r="T422" s="48" t="s">
        <v>1933</v>
      </c>
      <c r="U422" s="48"/>
      <c r="V422" s="48" t="s">
        <v>1933</v>
      </c>
      <c r="W422" s="48"/>
      <c r="X422" s="48"/>
      <c r="Y422" s="48"/>
      <c r="Z422" s="94" t="s">
        <v>3786</v>
      </c>
    </row>
    <row r="423" spans="1:26" ht="16.95" customHeight="1" x14ac:dyDescent="0.25">
      <c r="A423" s="36" t="s">
        <v>3840</v>
      </c>
      <c r="B423" s="36">
        <v>1</v>
      </c>
      <c r="C423" s="36" t="s">
        <v>2297</v>
      </c>
      <c r="D423" s="36"/>
      <c r="E423" s="36"/>
      <c r="F423" s="37" t="s">
        <v>2343</v>
      </c>
      <c r="G423" s="36" t="s">
        <v>3801</v>
      </c>
      <c r="H423" s="36"/>
      <c r="I423" s="36" t="s">
        <v>2291</v>
      </c>
      <c r="J423" s="36" t="s">
        <v>2310</v>
      </c>
      <c r="K423" s="87" t="s">
        <v>3841</v>
      </c>
      <c r="L423" s="57" t="s">
        <v>2427</v>
      </c>
      <c r="M423" s="58" t="s">
        <v>3842</v>
      </c>
      <c r="N423" s="56" t="s">
        <v>3843</v>
      </c>
      <c r="O423" s="36"/>
      <c r="P423" s="36"/>
      <c r="Q423" s="36" t="s">
        <v>1933</v>
      </c>
      <c r="R423" s="36"/>
      <c r="S423" s="36" t="s">
        <v>1933</v>
      </c>
      <c r="T423" s="36"/>
      <c r="U423" s="36"/>
      <c r="V423" s="36" t="s">
        <v>1933</v>
      </c>
      <c r="W423" s="36" t="s">
        <v>1933</v>
      </c>
      <c r="X423" s="36"/>
      <c r="Y423" s="36"/>
      <c r="Z423" s="94" t="s">
        <v>3786</v>
      </c>
    </row>
    <row r="424" spans="1:26" ht="16.95" customHeight="1" x14ac:dyDescent="0.25">
      <c r="A424" s="42" t="s">
        <v>3844</v>
      </c>
      <c r="B424" s="42">
        <v>1</v>
      </c>
      <c r="C424" s="42" t="s">
        <v>2315</v>
      </c>
      <c r="D424" s="42"/>
      <c r="E424" s="42" t="s">
        <v>1933</v>
      </c>
      <c r="F424" s="43" t="s">
        <v>2370</v>
      </c>
      <c r="G424" s="42" t="s">
        <v>2298</v>
      </c>
      <c r="H424" s="42" t="s">
        <v>2290</v>
      </c>
      <c r="I424" s="42"/>
      <c r="J424" s="42"/>
      <c r="K424" s="89"/>
      <c r="L424" s="66" t="s">
        <v>3740</v>
      </c>
      <c r="M424" s="67" t="s">
        <v>3845</v>
      </c>
      <c r="N424" s="65" t="s">
        <v>3846</v>
      </c>
      <c r="O424" s="42"/>
      <c r="P424" s="42"/>
      <c r="Q424" s="42"/>
      <c r="R424" s="42"/>
      <c r="S424" s="42" t="s">
        <v>1933</v>
      </c>
      <c r="T424" s="42"/>
      <c r="U424" s="42"/>
      <c r="V424" s="42"/>
      <c r="W424" s="42"/>
      <c r="X424" s="42"/>
      <c r="Y424" s="42"/>
      <c r="Z424" s="94" t="s">
        <v>3786</v>
      </c>
    </row>
    <row r="425" spans="1:26" ht="16.95" customHeight="1" x14ac:dyDescent="0.25">
      <c r="A425" s="34" t="s">
        <v>3847</v>
      </c>
      <c r="B425" s="34">
        <v>2</v>
      </c>
      <c r="C425" s="34" t="s">
        <v>2288</v>
      </c>
      <c r="D425" s="34"/>
      <c r="E425" s="34"/>
      <c r="F425" s="35" t="s">
        <v>2251</v>
      </c>
      <c r="G425" s="34" t="s">
        <v>2018</v>
      </c>
      <c r="H425" s="34" t="s">
        <v>2290</v>
      </c>
      <c r="I425" s="34" t="s">
        <v>2291</v>
      </c>
      <c r="J425" s="34" t="s">
        <v>2310</v>
      </c>
      <c r="K425" s="85" t="s">
        <v>3848</v>
      </c>
      <c r="L425" s="54" t="s">
        <v>2292</v>
      </c>
      <c r="M425" s="55" t="s">
        <v>3849</v>
      </c>
      <c r="N425" s="53" t="s">
        <v>3850</v>
      </c>
      <c r="O425" s="34"/>
      <c r="P425" s="34"/>
      <c r="Q425" s="34"/>
      <c r="R425" s="34"/>
      <c r="S425" s="34"/>
      <c r="T425" s="34" t="s">
        <v>1933</v>
      </c>
      <c r="U425" s="34"/>
      <c r="V425" s="34" t="s">
        <v>1933</v>
      </c>
      <c r="W425" s="34"/>
      <c r="X425" s="34"/>
      <c r="Y425" s="34"/>
      <c r="Z425" s="94" t="s">
        <v>3786</v>
      </c>
    </row>
    <row r="426" spans="1:26" ht="16.95" customHeight="1" x14ac:dyDescent="0.25">
      <c r="A426" s="42" t="s">
        <v>2726</v>
      </c>
      <c r="B426" s="42">
        <v>2</v>
      </c>
      <c r="C426" s="42" t="s">
        <v>2315</v>
      </c>
      <c r="D426" s="42"/>
      <c r="E426" s="42" t="s">
        <v>1933</v>
      </c>
      <c r="F426" s="43" t="s">
        <v>2370</v>
      </c>
      <c r="G426" s="42" t="s">
        <v>3801</v>
      </c>
      <c r="H426" s="42" t="s">
        <v>2290</v>
      </c>
      <c r="I426" s="42" t="s">
        <v>2291</v>
      </c>
      <c r="J426" s="42" t="s">
        <v>2310</v>
      </c>
      <c r="K426" s="89" t="s">
        <v>3851</v>
      </c>
      <c r="L426" s="66" t="s">
        <v>3740</v>
      </c>
      <c r="M426" s="67" t="s">
        <v>3852</v>
      </c>
      <c r="N426" s="65" t="s">
        <v>2729</v>
      </c>
      <c r="O426" s="42"/>
      <c r="P426" s="42"/>
      <c r="Q426" s="42"/>
      <c r="R426" s="42"/>
      <c r="S426" s="42"/>
      <c r="T426" s="42" t="s">
        <v>1933</v>
      </c>
      <c r="U426" s="42"/>
      <c r="V426" s="42" t="s">
        <v>1933</v>
      </c>
      <c r="W426" s="42"/>
      <c r="X426" s="42"/>
      <c r="Y426" s="42"/>
      <c r="Z426" s="94" t="s">
        <v>3786</v>
      </c>
    </row>
    <row r="427" spans="1:26" ht="16.95" customHeight="1" x14ac:dyDescent="0.25">
      <c r="A427" s="48" t="s">
        <v>3853</v>
      </c>
      <c r="B427" s="48">
        <v>2</v>
      </c>
      <c r="C427" s="48" t="s">
        <v>2342</v>
      </c>
      <c r="D427" s="48"/>
      <c r="E427" s="48" t="s">
        <v>1933</v>
      </c>
      <c r="F427" s="49" t="s">
        <v>2251</v>
      </c>
      <c r="G427" s="48" t="s">
        <v>2289</v>
      </c>
      <c r="H427" s="48" t="s">
        <v>2290</v>
      </c>
      <c r="I427" s="48" t="s">
        <v>2291</v>
      </c>
      <c r="J427" s="48" t="s">
        <v>2310</v>
      </c>
      <c r="K427" s="90" t="s">
        <v>3854</v>
      </c>
      <c r="L427" s="75" t="s">
        <v>3740</v>
      </c>
      <c r="M427" s="76" t="s">
        <v>3855</v>
      </c>
      <c r="N427" s="74" t="s">
        <v>3856</v>
      </c>
      <c r="O427" s="48"/>
      <c r="P427" s="48"/>
      <c r="Q427" s="48" t="s">
        <v>1933</v>
      </c>
      <c r="R427" s="48"/>
      <c r="S427" s="48"/>
      <c r="T427" s="48" t="s">
        <v>1933</v>
      </c>
      <c r="U427" s="48"/>
      <c r="V427" s="48" t="s">
        <v>1933</v>
      </c>
      <c r="W427" s="48"/>
      <c r="X427" s="48"/>
      <c r="Y427" s="48"/>
      <c r="Z427" s="94" t="s">
        <v>3786</v>
      </c>
    </row>
    <row r="428" spans="1:26" ht="16.95" customHeight="1" x14ac:dyDescent="0.25">
      <c r="A428" s="42" t="s">
        <v>3857</v>
      </c>
      <c r="B428" s="42">
        <v>2</v>
      </c>
      <c r="C428" s="42" t="s">
        <v>2315</v>
      </c>
      <c r="D428" s="42"/>
      <c r="E428" s="42" t="s">
        <v>1933</v>
      </c>
      <c r="F428" s="43" t="s">
        <v>2251</v>
      </c>
      <c r="G428" s="42" t="s">
        <v>3118</v>
      </c>
      <c r="H428" s="42" t="s">
        <v>2290</v>
      </c>
      <c r="I428" s="42"/>
      <c r="J428" s="42"/>
      <c r="K428" s="89"/>
      <c r="L428" s="66" t="s">
        <v>3740</v>
      </c>
      <c r="M428" s="67" t="s">
        <v>3858</v>
      </c>
      <c r="N428" s="65" t="s">
        <v>3859</v>
      </c>
      <c r="O428" s="42"/>
      <c r="P428" s="42"/>
      <c r="Q428" s="42" t="s">
        <v>1933</v>
      </c>
      <c r="R428" s="42"/>
      <c r="S428" s="42"/>
      <c r="T428" s="42" t="s">
        <v>1933</v>
      </c>
      <c r="U428" s="42" t="s">
        <v>1933</v>
      </c>
      <c r="V428" s="42" t="s">
        <v>1933</v>
      </c>
      <c r="W428" s="42"/>
      <c r="X428" s="42"/>
      <c r="Y428" s="42"/>
      <c r="Z428" s="94" t="s">
        <v>3786</v>
      </c>
    </row>
    <row r="429" spans="1:26" ht="16.95" customHeight="1" x14ac:dyDescent="0.25">
      <c r="A429" s="48" t="s">
        <v>3860</v>
      </c>
      <c r="B429" s="48">
        <v>2</v>
      </c>
      <c r="C429" s="48" t="s">
        <v>2342</v>
      </c>
      <c r="D429" s="48"/>
      <c r="E429" s="48" t="s">
        <v>1933</v>
      </c>
      <c r="F429" s="49" t="s">
        <v>2370</v>
      </c>
      <c r="G429" s="48" t="s">
        <v>2289</v>
      </c>
      <c r="H429" s="48" t="s">
        <v>2290</v>
      </c>
      <c r="I429" s="48" t="s">
        <v>2291</v>
      </c>
      <c r="J429" s="48"/>
      <c r="K429" s="90"/>
      <c r="L429" s="75" t="s">
        <v>3740</v>
      </c>
      <c r="M429" s="76" t="s">
        <v>3861</v>
      </c>
      <c r="N429" s="74" t="s">
        <v>3862</v>
      </c>
      <c r="O429" s="48"/>
      <c r="P429" s="48"/>
      <c r="Q429" s="48" t="s">
        <v>1933</v>
      </c>
      <c r="R429" s="48"/>
      <c r="S429" s="48" t="s">
        <v>1933</v>
      </c>
      <c r="T429" s="48"/>
      <c r="U429" s="48"/>
      <c r="V429" s="48"/>
      <c r="W429" s="48"/>
      <c r="X429" s="48"/>
      <c r="Y429" s="48"/>
      <c r="Z429" s="94" t="s">
        <v>3786</v>
      </c>
    </row>
    <row r="430" spans="1:26" ht="16.95" customHeight="1" x14ac:dyDescent="0.25">
      <c r="A430" s="42" t="s">
        <v>3863</v>
      </c>
      <c r="B430" s="42">
        <v>2</v>
      </c>
      <c r="C430" s="42" t="s">
        <v>2315</v>
      </c>
      <c r="D430" s="42"/>
      <c r="E430" s="42" t="s">
        <v>1933</v>
      </c>
      <c r="F430" s="43" t="s">
        <v>2251</v>
      </c>
      <c r="G430" s="42" t="s">
        <v>2018</v>
      </c>
      <c r="H430" s="42" t="s">
        <v>2290</v>
      </c>
      <c r="I430" s="42" t="s">
        <v>2291</v>
      </c>
      <c r="J430" s="42" t="s">
        <v>2310</v>
      </c>
      <c r="K430" s="89" t="s">
        <v>3864</v>
      </c>
      <c r="L430" s="66" t="s">
        <v>3740</v>
      </c>
      <c r="M430" s="67" t="s">
        <v>3865</v>
      </c>
      <c r="N430" s="65" t="s">
        <v>3866</v>
      </c>
      <c r="O430" s="42"/>
      <c r="P430" s="42"/>
      <c r="Q430" s="42"/>
      <c r="R430" s="42"/>
      <c r="S430" s="42"/>
      <c r="T430" s="42" t="s">
        <v>1933</v>
      </c>
      <c r="U430" s="42"/>
      <c r="V430" s="42" t="s">
        <v>1933</v>
      </c>
      <c r="W430" s="42"/>
      <c r="X430" s="42"/>
      <c r="Y430" s="42"/>
      <c r="Z430" s="94" t="s">
        <v>3786</v>
      </c>
    </row>
    <row r="431" spans="1:26" ht="16.95" customHeight="1" x14ac:dyDescent="0.25">
      <c r="A431" s="46" t="s">
        <v>2804</v>
      </c>
      <c r="B431" s="46">
        <v>2</v>
      </c>
      <c r="C431" s="46" t="s">
        <v>2334</v>
      </c>
      <c r="D431" s="46"/>
      <c r="E431" s="46" t="s">
        <v>1933</v>
      </c>
      <c r="F431" s="47" t="s">
        <v>2251</v>
      </c>
      <c r="G431" s="46" t="s">
        <v>2289</v>
      </c>
      <c r="H431" s="46"/>
      <c r="I431" s="46" t="s">
        <v>2291</v>
      </c>
      <c r="J431" s="46"/>
      <c r="K431" s="92"/>
      <c r="L431" s="72" t="s">
        <v>3748</v>
      </c>
      <c r="M431" s="73" t="s">
        <v>3867</v>
      </c>
      <c r="N431" s="71" t="s">
        <v>2806</v>
      </c>
      <c r="O431" s="46"/>
      <c r="P431" s="46"/>
      <c r="Q431" s="46"/>
      <c r="R431" s="46"/>
      <c r="S431" s="46"/>
      <c r="T431" s="46" t="s">
        <v>1933</v>
      </c>
      <c r="U431" s="46" t="s">
        <v>1933</v>
      </c>
      <c r="V431" s="46" t="s">
        <v>1933</v>
      </c>
      <c r="W431" s="46"/>
      <c r="X431" s="46"/>
      <c r="Y431" s="46"/>
      <c r="Z431" s="94" t="s">
        <v>3786</v>
      </c>
    </row>
    <row r="432" spans="1:26" ht="16.95" customHeight="1" x14ac:dyDescent="0.25">
      <c r="A432" s="42" t="s">
        <v>3868</v>
      </c>
      <c r="B432" s="42">
        <v>2</v>
      </c>
      <c r="C432" s="42" t="s">
        <v>2315</v>
      </c>
      <c r="D432" s="42"/>
      <c r="E432" s="42"/>
      <c r="F432" s="43" t="s">
        <v>2251</v>
      </c>
      <c r="G432" s="42" t="s">
        <v>2289</v>
      </c>
      <c r="H432" s="42" t="s">
        <v>2290</v>
      </c>
      <c r="I432" s="42" t="s">
        <v>2291</v>
      </c>
      <c r="J432" s="42"/>
      <c r="K432" s="89"/>
      <c r="L432" s="66" t="s">
        <v>2292</v>
      </c>
      <c r="M432" s="67" t="s">
        <v>3869</v>
      </c>
      <c r="N432" s="65" t="s">
        <v>3870</v>
      </c>
      <c r="O432" s="42" t="s">
        <v>1933</v>
      </c>
      <c r="P432" s="42"/>
      <c r="Q432" s="42"/>
      <c r="R432" s="42"/>
      <c r="S432" s="42"/>
      <c r="T432" s="42" t="s">
        <v>1933</v>
      </c>
      <c r="U432" s="42"/>
      <c r="V432" s="42" t="s">
        <v>1933</v>
      </c>
      <c r="W432" s="42" t="s">
        <v>1933</v>
      </c>
      <c r="X432" s="42"/>
      <c r="Y432" s="42"/>
      <c r="Z432" s="94" t="s">
        <v>3786</v>
      </c>
    </row>
    <row r="433" spans="1:26" ht="16.95" customHeight="1" x14ac:dyDescent="0.25">
      <c r="A433" s="40" t="s">
        <v>3871</v>
      </c>
      <c r="B433" s="40">
        <v>2</v>
      </c>
      <c r="C433" s="40" t="s">
        <v>2308</v>
      </c>
      <c r="D433" s="40"/>
      <c r="E433" s="40" t="s">
        <v>1933</v>
      </c>
      <c r="F433" s="41" t="s">
        <v>2370</v>
      </c>
      <c r="G433" s="40" t="s">
        <v>2298</v>
      </c>
      <c r="H433" s="40" t="s">
        <v>2290</v>
      </c>
      <c r="I433" s="40" t="s">
        <v>2291</v>
      </c>
      <c r="J433" s="40"/>
      <c r="K433" s="93"/>
      <c r="L433" s="63" t="s">
        <v>3740</v>
      </c>
      <c r="M433" s="64" t="s">
        <v>3872</v>
      </c>
      <c r="N433" s="62" t="s">
        <v>3873</v>
      </c>
      <c r="O433" s="40"/>
      <c r="P433" s="40"/>
      <c r="Q433" s="40"/>
      <c r="R433" s="40"/>
      <c r="S433" s="40"/>
      <c r="T433" s="40" t="s">
        <v>1933</v>
      </c>
      <c r="U433" s="40" t="s">
        <v>1933</v>
      </c>
      <c r="V433" s="40" t="s">
        <v>1933</v>
      </c>
      <c r="W433" s="40"/>
      <c r="X433" s="40"/>
      <c r="Y433" s="40"/>
      <c r="Z433" s="94" t="s">
        <v>3786</v>
      </c>
    </row>
    <row r="434" spans="1:26" ht="16.95" customHeight="1" x14ac:dyDescent="0.25">
      <c r="A434" s="42" t="s">
        <v>3874</v>
      </c>
      <c r="B434" s="42">
        <v>2</v>
      </c>
      <c r="C434" s="42" t="s">
        <v>2315</v>
      </c>
      <c r="D434" s="42" t="s">
        <v>1933</v>
      </c>
      <c r="E434" s="42" t="s">
        <v>1933</v>
      </c>
      <c r="F434" s="43" t="s">
        <v>2472</v>
      </c>
      <c r="G434" s="42" t="s">
        <v>3875</v>
      </c>
      <c r="H434" s="42" t="s">
        <v>2290</v>
      </c>
      <c r="I434" s="42" t="s">
        <v>2291</v>
      </c>
      <c r="J434" s="42"/>
      <c r="K434" s="89"/>
      <c r="L434" s="66" t="s">
        <v>3748</v>
      </c>
      <c r="M434" s="67" t="s">
        <v>3876</v>
      </c>
      <c r="N434" s="65" t="s">
        <v>3877</v>
      </c>
      <c r="O434" s="42" t="s">
        <v>1933</v>
      </c>
      <c r="P434" s="42"/>
      <c r="Q434" s="42" t="s">
        <v>1933</v>
      </c>
      <c r="R434" s="42"/>
      <c r="S434" s="42"/>
      <c r="T434" s="42"/>
      <c r="U434" s="42"/>
      <c r="V434" s="42" t="s">
        <v>1933</v>
      </c>
      <c r="W434" s="42" t="s">
        <v>1933</v>
      </c>
      <c r="X434" s="42"/>
      <c r="Y434" s="42"/>
      <c r="Z434" s="94" t="s">
        <v>3786</v>
      </c>
    </row>
    <row r="435" spans="1:26" ht="16.95" customHeight="1" x14ac:dyDescent="0.25">
      <c r="A435" s="34" t="s">
        <v>3878</v>
      </c>
      <c r="B435" s="34">
        <v>2</v>
      </c>
      <c r="C435" s="34" t="s">
        <v>2288</v>
      </c>
      <c r="D435" s="34"/>
      <c r="E435" s="34"/>
      <c r="F435" s="35" t="s">
        <v>2251</v>
      </c>
      <c r="G435" s="34" t="s">
        <v>2457</v>
      </c>
      <c r="H435" s="34" t="s">
        <v>2290</v>
      </c>
      <c r="I435" s="34" t="s">
        <v>2291</v>
      </c>
      <c r="J435" s="34" t="s">
        <v>2310</v>
      </c>
      <c r="K435" s="85" t="s">
        <v>3879</v>
      </c>
      <c r="L435" s="54" t="s">
        <v>2292</v>
      </c>
      <c r="M435" s="55" t="s">
        <v>3880</v>
      </c>
      <c r="N435" s="53" t="s">
        <v>3881</v>
      </c>
      <c r="O435" s="34"/>
      <c r="P435" s="34"/>
      <c r="Q435" s="34"/>
      <c r="R435" s="34"/>
      <c r="S435" s="34"/>
      <c r="T435" s="34" t="s">
        <v>1933</v>
      </c>
      <c r="U435" s="34"/>
      <c r="V435" s="34" t="s">
        <v>1933</v>
      </c>
      <c r="W435" s="34"/>
      <c r="X435" s="34"/>
      <c r="Y435" s="34"/>
      <c r="Z435" s="94" t="s">
        <v>3786</v>
      </c>
    </row>
    <row r="436" spans="1:26" ht="16.95" customHeight="1" x14ac:dyDescent="0.25">
      <c r="A436" s="34" t="s">
        <v>3882</v>
      </c>
      <c r="B436" s="34">
        <v>2</v>
      </c>
      <c r="C436" s="34" t="s">
        <v>2288</v>
      </c>
      <c r="D436" s="34"/>
      <c r="E436" s="34" t="s">
        <v>1933</v>
      </c>
      <c r="F436" s="35" t="s">
        <v>2251</v>
      </c>
      <c r="G436" s="34" t="s">
        <v>2298</v>
      </c>
      <c r="H436" s="34" t="s">
        <v>2290</v>
      </c>
      <c r="I436" s="34"/>
      <c r="J436" s="34"/>
      <c r="K436" s="85"/>
      <c r="L436" s="54" t="s">
        <v>3819</v>
      </c>
      <c r="M436" s="55" t="s">
        <v>3883</v>
      </c>
      <c r="N436" s="53" t="s">
        <v>3884</v>
      </c>
      <c r="O436" s="34" t="s">
        <v>1933</v>
      </c>
      <c r="P436" s="34"/>
      <c r="Q436" s="34" t="s">
        <v>1933</v>
      </c>
      <c r="R436" s="34"/>
      <c r="S436" s="34"/>
      <c r="T436" s="34" t="s">
        <v>1933</v>
      </c>
      <c r="U436" s="34"/>
      <c r="V436" s="34" t="s">
        <v>1933</v>
      </c>
      <c r="W436" s="34"/>
      <c r="X436" s="34"/>
      <c r="Y436" s="34"/>
      <c r="Z436" s="94" t="s">
        <v>3786</v>
      </c>
    </row>
    <row r="437" spans="1:26" ht="16.95" customHeight="1" x14ac:dyDescent="0.25">
      <c r="A437" s="44" t="s">
        <v>3885</v>
      </c>
      <c r="B437" s="44">
        <v>3</v>
      </c>
      <c r="C437" s="44" t="s">
        <v>2328</v>
      </c>
      <c r="D437" s="44"/>
      <c r="E437" s="44"/>
      <c r="F437" s="45" t="s">
        <v>2251</v>
      </c>
      <c r="G437" s="44" t="s">
        <v>2018</v>
      </c>
      <c r="H437" s="44"/>
      <c r="I437" s="44" t="s">
        <v>2291</v>
      </c>
      <c r="J437" s="44" t="s">
        <v>2310</v>
      </c>
      <c r="K437" s="86" t="s">
        <v>3886</v>
      </c>
      <c r="L437" s="69" t="s">
        <v>2371</v>
      </c>
      <c r="M437" s="70" t="s">
        <v>3887</v>
      </c>
      <c r="N437" s="68" t="s">
        <v>3888</v>
      </c>
      <c r="O437" s="44" t="s">
        <v>1933</v>
      </c>
      <c r="P437" s="44"/>
      <c r="Q437" s="44"/>
      <c r="R437" s="44"/>
      <c r="S437" s="44"/>
      <c r="T437" s="44" t="s">
        <v>1933</v>
      </c>
      <c r="U437" s="44"/>
      <c r="V437" s="44" t="s">
        <v>1933</v>
      </c>
      <c r="W437" s="44" t="s">
        <v>1933</v>
      </c>
      <c r="X437" s="44"/>
      <c r="Y437" s="44"/>
      <c r="Z437" s="94" t="s">
        <v>3786</v>
      </c>
    </row>
    <row r="438" spans="1:26" ht="16.95" customHeight="1" x14ac:dyDescent="0.25">
      <c r="A438" s="44" t="s">
        <v>3889</v>
      </c>
      <c r="B438" s="44">
        <v>3</v>
      </c>
      <c r="C438" s="44" t="s">
        <v>2328</v>
      </c>
      <c r="D438" s="44"/>
      <c r="E438" s="44" t="s">
        <v>1933</v>
      </c>
      <c r="F438" s="45" t="s">
        <v>2251</v>
      </c>
      <c r="G438" s="84" t="s">
        <v>3801</v>
      </c>
      <c r="H438" s="44" t="s">
        <v>2290</v>
      </c>
      <c r="I438" s="44" t="s">
        <v>2291</v>
      </c>
      <c r="J438" s="44"/>
      <c r="K438" s="86"/>
      <c r="L438" s="69" t="s">
        <v>3740</v>
      </c>
      <c r="M438" s="70" t="s">
        <v>3890</v>
      </c>
      <c r="N438" s="68" t="s">
        <v>3891</v>
      </c>
      <c r="O438" s="44" t="s">
        <v>1933</v>
      </c>
      <c r="P438" s="44"/>
      <c r="Q438" s="44"/>
      <c r="R438" s="44"/>
      <c r="S438" s="44"/>
      <c r="T438" s="44" t="s">
        <v>1933</v>
      </c>
      <c r="U438" s="44" t="s">
        <v>1933</v>
      </c>
      <c r="V438" s="44" t="s">
        <v>1933</v>
      </c>
      <c r="W438" s="44"/>
      <c r="X438" s="44"/>
      <c r="Y438" s="44"/>
      <c r="Z438" s="94" t="s">
        <v>3786</v>
      </c>
    </row>
    <row r="439" spans="1:26" ht="16.95" customHeight="1" x14ac:dyDescent="0.25">
      <c r="A439" s="42" t="s">
        <v>3892</v>
      </c>
      <c r="B439" s="42">
        <v>3</v>
      </c>
      <c r="C439" s="42" t="s">
        <v>2315</v>
      </c>
      <c r="D439" s="42"/>
      <c r="E439" s="42"/>
      <c r="F439" s="43" t="s">
        <v>2251</v>
      </c>
      <c r="G439" s="42" t="s">
        <v>2309</v>
      </c>
      <c r="H439" s="42" t="s">
        <v>2290</v>
      </c>
      <c r="I439" s="42" t="s">
        <v>2291</v>
      </c>
      <c r="J439" s="42" t="s">
        <v>2310</v>
      </c>
      <c r="K439" s="89" t="s">
        <v>3893</v>
      </c>
      <c r="L439" s="66" t="s">
        <v>2292</v>
      </c>
      <c r="M439" s="67" t="s">
        <v>3894</v>
      </c>
      <c r="N439" s="65" t="s">
        <v>3895</v>
      </c>
      <c r="O439" s="42"/>
      <c r="P439" s="42"/>
      <c r="Q439" s="42" t="s">
        <v>1933</v>
      </c>
      <c r="R439" s="42"/>
      <c r="S439" s="42"/>
      <c r="T439" s="42" t="s">
        <v>1933</v>
      </c>
      <c r="U439" s="42"/>
      <c r="V439" s="42" t="s">
        <v>1933</v>
      </c>
      <c r="W439" s="42"/>
      <c r="X439" s="42"/>
      <c r="Y439" s="42"/>
      <c r="Z439" s="94" t="s">
        <v>3786</v>
      </c>
    </row>
    <row r="440" spans="1:26" ht="16.95" customHeight="1" x14ac:dyDescent="0.25">
      <c r="A440" s="42" t="s">
        <v>3896</v>
      </c>
      <c r="B440" s="42">
        <v>3</v>
      </c>
      <c r="C440" s="42" t="s">
        <v>2315</v>
      </c>
      <c r="D440" s="42"/>
      <c r="E440" s="42" t="s">
        <v>1933</v>
      </c>
      <c r="F440" s="43" t="s">
        <v>2251</v>
      </c>
      <c r="G440" s="42" t="s">
        <v>3801</v>
      </c>
      <c r="H440" s="42" t="s">
        <v>2290</v>
      </c>
      <c r="I440" s="42" t="s">
        <v>2291</v>
      </c>
      <c r="J440" s="42"/>
      <c r="K440" s="89"/>
      <c r="L440" s="66" t="s">
        <v>3748</v>
      </c>
      <c r="M440" s="67" t="s">
        <v>3897</v>
      </c>
      <c r="N440" s="65" t="s">
        <v>3898</v>
      </c>
      <c r="O440" s="42"/>
      <c r="P440" s="42"/>
      <c r="Q440" s="42" t="s">
        <v>1933</v>
      </c>
      <c r="R440" s="42"/>
      <c r="S440" s="42" t="s">
        <v>1933</v>
      </c>
      <c r="T440" s="42" t="s">
        <v>1933</v>
      </c>
      <c r="U440" s="42"/>
      <c r="V440" s="42" t="s">
        <v>1933</v>
      </c>
      <c r="W440" s="42" t="s">
        <v>1933</v>
      </c>
      <c r="X440" s="42"/>
      <c r="Y440" s="42"/>
      <c r="Z440" s="94" t="s">
        <v>3786</v>
      </c>
    </row>
    <row r="441" spans="1:26" ht="16.95" customHeight="1" x14ac:dyDescent="0.25">
      <c r="A441" s="38" t="s">
        <v>3899</v>
      </c>
      <c r="B441" s="38">
        <v>3</v>
      </c>
      <c r="C441" s="38" t="s">
        <v>2303</v>
      </c>
      <c r="D441" s="38"/>
      <c r="E441" s="38"/>
      <c r="F441" s="39" t="s">
        <v>2251</v>
      </c>
      <c r="G441" s="38" t="s">
        <v>2018</v>
      </c>
      <c r="H441" s="38" t="s">
        <v>2290</v>
      </c>
      <c r="I441" s="38" t="s">
        <v>2291</v>
      </c>
      <c r="J441" s="38"/>
      <c r="K441" s="88"/>
      <c r="L441" s="60" t="s">
        <v>2292</v>
      </c>
      <c r="M441" s="61" t="s">
        <v>3900</v>
      </c>
      <c r="N441" s="59" t="s">
        <v>3901</v>
      </c>
      <c r="O441" s="38"/>
      <c r="P441" s="38" t="s">
        <v>1933</v>
      </c>
      <c r="Q441" s="38"/>
      <c r="R441" s="38"/>
      <c r="S441" s="38"/>
      <c r="T441" s="38"/>
      <c r="U441" s="38"/>
      <c r="V441" s="38" t="s">
        <v>1933</v>
      </c>
      <c r="W441" s="38"/>
      <c r="X441" s="38"/>
      <c r="Y441" s="38"/>
      <c r="Z441" s="94" t="s">
        <v>3786</v>
      </c>
    </row>
    <row r="442" spans="1:26" ht="16.95" customHeight="1" x14ac:dyDescent="0.25">
      <c r="A442" s="34" t="s">
        <v>3902</v>
      </c>
      <c r="B442" s="34">
        <v>3</v>
      </c>
      <c r="C442" s="34" t="s">
        <v>2288</v>
      </c>
      <c r="D442" s="34"/>
      <c r="E442" s="34" t="s">
        <v>1933</v>
      </c>
      <c r="F442" s="35" t="s">
        <v>2251</v>
      </c>
      <c r="G442" s="34" t="s">
        <v>2298</v>
      </c>
      <c r="H442" s="34" t="s">
        <v>2290</v>
      </c>
      <c r="I442" s="34" t="s">
        <v>2291</v>
      </c>
      <c r="J442" s="34" t="s">
        <v>2310</v>
      </c>
      <c r="K442" s="85" t="s">
        <v>3903</v>
      </c>
      <c r="L442" s="54" t="s">
        <v>3819</v>
      </c>
      <c r="M442" s="55" t="s">
        <v>3904</v>
      </c>
      <c r="N442" s="53" t="s">
        <v>3905</v>
      </c>
      <c r="O442" s="34"/>
      <c r="P442" s="34"/>
      <c r="Q442" s="34"/>
      <c r="R442" s="34"/>
      <c r="S442" s="34"/>
      <c r="T442" s="34" t="s">
        <v>1933</v>
      </c>
      <c r="U442" s="34"/>
      <c r="V442" s="34" t="s">
        <v>1933</v>
      </c>
      <c r="W442" s="34"/>
      <c r="X442" s="34"/>
      <c r="Y442" s="34"/>
      <c r="Z442" s="94" t="s">
        <v>3786</v>
      </c>
    </row>
    <row r="443" spans="1:26" ht="16.95" customHeight="1" x14ac:dyDescent="0.25">
      <c r="A443" s="48" t="s">
        <v>3906</v>
      </c>
      <c r="B443" s="48">
        <v>3</v>
      </c>
      <c r="C443" s="48" t="s">
        <v>2342</v>
      </c>
      <c r="D443" s="48"/>
      <c r="E443" s="48" t="s">
        <v>1933</v>
      </c>
      <c r="F443" s="49" t="s">
        <v>2251</v>
      </c>
      <c r="G443" s="48" t="s">
        <v>2289</v>
      </c>
      <c r="H443" s="48" t="s">
        <v>2290</v>
      </c>
      <c r="I443" s="48" t="s">
        <v>2291</v>
      </c>
      <c r="J443" s="48" t="s">
        <v>2310</v>
      </c>
      <c r="K443" s="90" t="s">
        <v>3907</v>
      </c>
      <c r="L443" s="75" t="s">
        <v>3748</v>
      </c>
      <c r="M443" s="76" t="s">
        <v>3908</v>
      </c>
      <c r="N443" s="74" t="s">
        <v>3909</v>
      </c>
      <c r="O443" s="48"/>
      <c r="P443" s="48"/>
      <c r="Q443" s="48"/>
      <c r="R443" s="48"/>
      <c r="S443" s="48"/>
      <c r="T443" s="48"/>
      <c r="U443" s="48" t="s">
        <v>1933</v>
      </c>
      <c r="V443" s="48" t="s">
        <v>1933</v>
      </c>
      <c r="W443" s="48"/>
      <c r="X443" s="48"/>
      <c r="Y443" s="48"/>
      <c r="Z443" s="94" t="s">
        <v>3786</v>
      </c>
    </row>
    <row r="444" spans="1:26" ht="16.95" customHeight="1" x14ac:dyDescent="0.25">
      <c r="A444" s="48" t="s">
        <v>3910</v>
      </c>
      <c r="B444" s="48">
        <v>3</v>
      </c>
      <c r="C444" s="48" t="s">
        <v>2342</v>
      </c>
      <c r="D444" s="48"/>
      <c r="E444" s="48"/>
      <c r="F444" s="49" t="s">
        <v>2251</v>
      </c>
      <c r="G444" s="48" t="s">
        <v>2457</v>
      </c>
      <c r="H444" s="48" t="s">
        <v>2290</v>
      </c>
      <c r="I444" s="48"/>
      <c r="J444" s="48"/>
      <c r="K444" s="90"/>
      <c r="L444" s="75" t="s">
        <v>2292</v>
      </c>
      <c r="M444" s="76" t="s">
        <v>3911</v>
      </c>
      <c r="N444" s="74" t="s">
        <v>3912</v>
      </c>
      <c r="O444" s="48"/>
      <c r="P444" s="48"/>
      <c r="Q444" s="48"/>
      <c r="R444" s="48"/>
      <c r="S444" s="48"/>
      <c r="T444" s="48" t="s">
        <v>1933</v>
      </c>
      <c r="U444" s="48" t="s">
        <v>1933</v>
      </c>
      <c r="V444" s="48" t="s">
        <v>1933</v>
      </c>
      <c r="W444" s="48"/>
      <c r="X444" s="48"/>
      <c r="Y444" s="48"/>
      <c r="Z444" s="94" t="s">
        <v>3786</v>
      </c>
    </row>
    <row r="445" spans="1:26" ht="16.95" customHeight="1" x14ac:dyDescent="0.25">
      <c r="A445" s="48" t="s">
        <v>3913</v>
      </c>
      <c r="B445" s="48">
        <v>3</v>
      </c>
      <c r="C445" s="48" t="s">
        <v>2342</v>
      </c>
      <c r="D445" s="48"/>
      <c r="E445" s="48"/>
      <c r="F445" s="49" t="s">
        <v>2251</v>
      </c>
      <c r="G445" s="48" t="s">
        <v>2309</v>
      </c>
      <c r="H445" s="48" t="s">
        <v>2290</v>
      </c>
      <c r="I445" s="48" t="s">
        <v>2291</v>
      </c>
      <c r="J445" s="48" t="s">
        <v>2310</v>
      </c>
      <c r="K445" s="90" t="s">
        <v>3914</v>
      </c>
      <c r="L445" s="75" t="s">
        <v>2292</v>
      </c>
      <c r="M445" s="76" t="s">
        <v>3915</v>
      </c>
      <c r="N445" s="74" t="s">
        <v>3916</v>
      </c>
      <c r="O445" s="48"/>
      <c r="P445" s="48"/>
      <c r="Q445" s="48" t="s">
        <v>1933</v>
      </c>
      <c r="R445" s="48"/>
      <c r="S445" s="48"/>
      <c r="T445" s="48" t="s">
        <v>1933</v>
      </c>
      <c r="U445" s="48"/>
      <c r="V445" s="48" t="s">
        <v>1933</v>
      </c>
      <c r="W445" s="48"/>
      <c r="X445" s="48"/>
      <c r="Y445" s="48"/>
      <c r="Z445" s="94" t="s">
        <v>3786</v>
      </c>
    </row>
    <row r="446" spans="1:26" ht="16.95" customHeight="1" x14ac:dyDescent="0.25">
      <c r="A446" s="42" t="s">
        <v>3917</v>
      </c>
      <c r="B446" s="42">
        <v>3</v>
      </c>
      <c r="C446" s="42" t="s">
        <v>2315</v>
      </c>
      <c r="D446" s="42"/>
      <c r="E446" s="42"/>
      <c r="F446" s="43" t="s">
        <v>2343</v>
      </c>
      <c r="G446" s="42" t="s">
        <v>3801</v>
      </c>
      <c r="H446" s="42" t="s">
        <v>2290</v>
      </c>
      <c r="I446" s="42" t="s">
        <v>2291</v>
      </c>
      <c r="J446" s="42"/>
      <c r="K446" s="89"/>
      <c r="L446" s="66" t="s">
        <v>2427</v>
      </c>
      <c r="M446" s="67" t="s">
        <v>3918</v>
      </c>
      <c r="N446" s="65" t="s">
        <v>3919</v>
      </c>
      <c r="O446" s="42"/>
      <c r="P446" s="42"/>
      <c r="Q446" s="42"/>
      <c r="R446" s="42"/>
      <c r="S446" s="42"/>
      <c r="T446" s="42"/>
      <c r="U446" s="42"/>
      <c r="V446" s="42" t="s">
        <v>1933</v>
      </c>
      <c r="W446" s="42" t="s">
        <v>1933</v>
      </c>
      <c r="X446" s="42"/>
      <c r="Y446" s="42"/>
      <c r="Z446" s="94" t="s">
        <v>3786</v>
      </c>
    </row>
    <row r="447" spans="1:26" ht="16.95" customHeight="1" x14ac:dyDescent="0.25">
      <c r="A447" s="34" t="s">
        <v>3920</v>
      </c>
      <c r="B447" s="34">
        <v>3</v>
      </c>
      <c r="C447" s="34" t="s">
        <v>2288</v>
      </c>
      <c r="D447" s="34"/>
      <c r="E447" s="34" t="s">
        <v>1933</v>
      </c>
      <c r="F447" s="35" t="s">
        <v>2251</v>
      </c>
      <c r="G447" s="34" t="s">
        <v>2457</v>
      </c>
      <c r="H447" s="34" t="s">
        <v>2290</v>
      </c>
      <c r="I447" s="34" t="s">
        <v>2291</v>
      </c>
      <c r="J447" s="34" t="s">
        <v>2310</v>
      </c>
      <c r="K447" s="85" t="s">
        <v>3921</v>
      </c>
      <c r="L447" s="54" t="s">
        <v>3819</v>
      </c>
      <c r="M447" s="55" t="s">
        <v>3922</v>
      </c>
      <c r="N447" s="53" t="s">
        <v>3923</v>
      </c>
      <c r="O447" s="34"/>
      <c r="P447" s="34"/>
      <c r="Q447" s="34"/>
      <c r="R447" s="34"/>
      <c r="S447" s="34"/>
      <c r="T447" s="34"/>
      <c r="U447" s="34"/>
      <c r="V447" s="34" t="s">
        <v>1933</v>
      </c>
      <c r="W447" s="34"/>
      <c r="X447" s="34"/>
      <c r="Y447" s="34"/>
      <c r="Z447" s="94" t="s">
        <v>3786</v>
      </c>
    </row>
    <row r="448" spans="1:26" ht="16.95" customHeight="1" x14ac:dyDescent="0.25">
      <c r="A448" s="34" t="s">
        <v>3924</v>
      </c>
      <c r="B448" s="34">
        <v>3</v>
      </c>
      <c r="C448" s="34" t="s">
        <v>2288</v>
      </c>
      <c r="D448" s="34"/>
      <c r="E448" s="34" t="s">
        <v>1933</v>
      </c>
      <c r="F448" s="35" t="s">
        <v>2251</v>
      </c>
      <c r="G448" s="34" t="s">
        <v>2289</v>
      </c>
      <c r="H448" s="34" t="s">
        <v>2290</v>
      </c>
      <c r="I448" s="34" t="s">
        <v>2291</v>
      </c>
      <c r="J448" s="34" t="s">
        <v>2310</v>
      </c>
      <c r="K448" s="85" t="s">
        <v>3914</v>
      </c>
      <c r="L448" s="54" t="s">
        <v>3819</v>
      </c>
      <c r="M448" s="55" t="s">
        <v>3925</v>
      </c>
      <c r="N448" s="53" t="s">
        <v>3926</v>
      </c>
      <c r="O448" s="34"/>
      <c r="P448" s="34"/>
      <c r="Q448" s="34" t="s">
        <v>1933</v>
      </c>
      <c r="R448" s="34"/>
      <c r="S448" s="34"/>
      <c r="T448" s="34" t="s">
        <v>1933</v>
      </c>
      <c r="U448" s="34"/>
      <c r="V448" s="34" t="s">
        <v>1933</v>
      </c>
      <c r="W448" s="34"/>
      <c r="X448" s="34"/>
      <c r="Y448" s="34"/>
      <c r="Z448" s="94" t="s">
        <v>3786</v>
      </c>
    </row>
    <row r="449" spans="1:26" ht="16.95" customHeight="1" x14ac:dyDescent="0.25">
      <c r="A449" s="44" t="s">
        <v>3101</v>
      </c>
      <c r="B449" s="44">
        <v>4</v>
      </c>
      <c r="C449" s="44" t="s">
        <v>2328</v>
      </c>
      <c r="D449" s="44"/>
      <c r="E449" s="44"/>
      <c r="F449" s="45" t="s">
        <v>2251</v>
      </c>
      <c r="G449" s="44" t="s">
        <v>2018</v>
      </c>
      <c r="H449" s="44" t="s">
        <v>2290</v>
      </c>
      <c r="I449" s="44" t="s">
        <v>2291</v>
      </c>
      <c r="J449" s="44"/>
      <c r="K449" s="86"/>
      <c r="L449" s="69" t="s">
        <v>2338</v>
      </c>
      <c r="M449" s="70" t="s">
        <v>3927</v>
      </c>
      <c r="N449" s="68" t="s">
        <v>3103</v>
      </c>
      <c r="O449" s="44" t="s">
        <v>1933</v>
      </c>
      <c r="P449" s="44"/>
      <c r="Q449" s="44" t="s">
        <v>1933</v>
      </c>
      <c r="R449" s="44"/>
      <c r="S449" s="44"/>
      <c r="T449" s="44" t="s">
        <v>1933</v>
      </c>
      <c r="U449" s="44" t="s">
        <v>1933</v>
      </c>
      <c r="V449" s="44" t="s">
        <v>1933</v>
      </c>
      <c r="W449" s="44"/>
      <c r="X449" s="44"/>
      <c r="Y449" s="44"/>
      <c r="Z449" s="94" t="s">
        <v>3786</v>
      </c>
    </row>
    <row r="450" spans="1:26" ht="16.95" customHeight="1" x14ac:dyDescent="0.25">
      <c r="A450" s="42" t="s">
        <v>3928</v>
      </c>
      <c r="B450" s="42">
        <v>4</v>
      </c>
      <c r="C450" s="42" t="s">
        <v>2315</v>
      </c>
      <c r="D450" s="42"/>
      <c r="E450" s="42" t="s">
        <v>1933</v>
      </c>
      <c r="F450" s="43" t="s">
        <v>2251</v>
      </c>
      <c r="G450" s="42" t="s">
        <v>2457</v>
      </c>
      <c r="H450" s="42" t="s">
        <v>2290</v>
      </c>
      <c r="I450" s="42" t="s">
        <v>2291</v>
      </c>
      <c r="J450" s="42"/>
      <c r="K450" s="89"/>
      <c r="L450" s="66" t="s">
        <v>3740</v>
      </c>
      <c r="M450" s="67" t="s">
        <v>3929</v>
      </c>
      <c r="N450" s="65" t="s">
        <v>3930</v>
      </c>
      <c r="O450" s="42"/>
      <c r="P450" s="42"/>
      <c r="Q450" s="42" t="s">
        <v>1933</v>
      </c>
      <c r="R450" s="42"/>
      <c r="S450" s="42"/>
      <c r="T450" s="42"/>
      <c r="U450" s="42" t="s">
        <v>1933</v>
      </c>
      <c r="V450" s="42" t="s">
        <v>1933</v>
      </c>
      <c r="W450" s="42" t="s">
        <v>1933</v>
      </c>
      <c r="X450" s="42"/>
      <c r="Y450" s="42"/>
      <c r="Z450" s="94" t="s">
        <v>3786</v>
      </c>
    </row>
    <row r="451" spans="1:26" ht="16.95" customHeight="1" x14ac:dyDescent="0.25">
      <c r="A451" s="48" t="s">
        <v>3931</v>
      </c>
      <c r="B451" s="48">
        <v>4</v>
      </c>
      <c r="C451" s="48" t="s">
        <v>2342</v>
      </c>
      <c r="D451" s="48"/>
      <c r="E451" s="48"/>
      <c r="F451" s="49" t="s">
        <v>2371</v>
      </c>
      <c r="G451" s="48" t="s">
        <v>2018</v>
      </c>
      <c r="H451" s="48" t="s">
        <v>2290</v>
      </c>
      <c r="I451" s="48" t="s">
        <v>2291</v>
      </c>
      <c r="J451" s="48"/>
      <c r="K451" s="90"/>
      <c r="L451" s="75" t="s">
        <v>2292</v>
      </c>
      <c r="M451" s="76" t="s">
        <v>3932</v>
      </c>
      <c r="N451" s="74" t="s">
        <v>3933</v>
      </c>
      <c r="O451" s="48"/>
      <c r="P451" s="48"/>
      <c r="Q451" s="48"/>
      <c r="R451" s="48" t="s">
        <v>1933</v>
      </c>
      <c r="S451" s="48"/>
      <c r="T451" s="48"/>
      <c r="U451" s="48"/>
      <c r="V451" s="48"/>
      <c r="W451" s="48"/>
      <c r="X451" s="48"/>
      <c r="Y451" s="48"/>
      <c r="Z451" s="94" t="s">
        <v>3786</v>
      </c>
    </row>
    <row r="452" spans="1:26" ht="16.95" customHeight="1" x14ac:dyDescent="0.25">
      <c r="A452" s="42" t="s">
        <v>3934</v>
      </c>
      <c r="B452" s="42">
        <v>4</v>
      </c>
      <c r="C452" s="42" t="s">
        <v>2315</v>
      </c>
      <c r="D452" s="42"/>
      <c r="E452" s="42" t="s">
        <v>1933</v>
      </c>
      <c r="F452" s="43" t="s">
        <v>2370</v>
      </c>
      <c r="G452" s="42" t="s">
        <v>2298</v>
      </c>
      <c r="H452" s="42" t="s">
        <v>2290</v>
      </c>
      <c r="I452" s="42"/>
      <c r="J452" s="42"/>
      <c r="K452" s="89"/>
      <c r="L452" s="66" t="s">
        <v>3740</v>
      </c>
      <c r="M452" s="67" t="s">
        <v>3935</v>
      </c>
      <c r="N452" s="65" t="s">
        <v>3936</v>
      </c>
      <c r="O452" s="42"/>
      <c r="P452" s="42"/>
      <c r="Q452" s="42" t="s">
        <v>1933</v>
      </c>
      <c r="R452" s="42"/>
      <c r="S452" s="42" t="s">
        <v>1933</v>
      </c>
      <c r="T452" s="42"/>
      <c r="U452" s="42"/>
      <c r="V452" s="42"/>
      <c r="W452" s="42"/>
      <c r="X452" s="42"/>
      <c r="Y452" s="42"/>
      <c r="Z452" s="94" t="s">
        <v>3786</v>
      </c>
    </row>
    <row r="453" spans="1:26" ht="16.95" customHeight="1" x14ac:dyDescent="0.25">
      <c r="A453" s="38" t="s">
        <v>3937</v>
      </c>
      <c r="B453" s="38">
        <v>4</v>
      </c>
      <c r="C453" s="38" t="s">
        <v>2303</v>
      </c>
      <c r="D453" s="38"/>
      <c r="E453" s="38" t="s">
        <v>1933</v>
      </c>
      <c r="F453" s="39" t="s">
        <v>2251</v>
      </c>
      <c r="G453" s="38" t="s">
        <v>2298</v>
      </c>
      <c r="H453" s="38" t="s">
        <v>2290</v>
      </c>
      <c r="I453" s="38" t="s">
        <v>2291</v>
      </c>
      <c r="J453" s="38" t="s">
        <v>2310</v>
      </c>
      <c r="K453" s="88" t="s">
        <v>3938</v>
      </c>
      <c r="L453" s="60" t="s">
        <v>3740</v>
      </c>
      <c r="M453" s="61" t="s">
        <v>3939</v>
      </c>
      <c r="N453" s="59" t="s">
        <v>3940</v>
      </c>
      <c r="O453" s="38"/>
      <c r="P453" s="38"/>
      <c r="Q453" s="38"/>
      <c r="R453" s="38"/>
      <c r="S453" s="38"/>
      <c r="T453" s="38"/>
      <c r="U453" s="38" t="s">
        <v>1933</v>
      </c>
      <c r="V453" s="38"/>
      <c r="W453" s="38"/>
      <c r="X453" s="38"/>
      <c r="Y453" s="38"/>
      <c r="Z453" s="94" t="s">
        <v>3786</v>
      </c>
    </row>
    <row r="454" spans="1:26" ht="16.95" customHeight="1" x14ac:dyDescent="0.25">
      <c r="A454" s="34" t="s">
        <v>3941</v>
      </c>
      <c r="B454" s="34">
        <v>4</v>
      </c>
      <c r="C454" s="34" t="s">
        <v>2288</v>
      </c>
      <c r="D454" s="34"/>
      <c r="E454" s="34" t="s">
        <v>1933</v>
      </c>
      <c r="F454" s="35" t="s">
        <v>2251</v>
      </c>
      <c r="G454" s="34" t="s">
        <v>2309</v>
      </c>
      <c r="H454" s="34" t="s">
        <v>2290</v>
      </c>
      <c r="I454" s="34" t="s">
        <v>2291</v>
      </c>
      <c r="J454" s="34"/>
      <c r="K454" s="85"/>
      <c r="L454" s="54" t="s">
        <v>3819</v>
      </c>
      <c r="M454" s="55" t="s">
        <v>3942</v>
      </c>
      <c r="N454" s="53" t="s">
        <v>3943</v>
      </c>
      <c r="O454" s="34"/>
      <c r="P454" s="34"/>
      <c r="Q454" s="34"/>
      <c r="R454" s="34"/>
      <c r="S454" s="34"/>
      <c r="T454" s="34" t="s">
        <v>1933</v>
      </c>
      <c r="U454" s="34" t="s">
        <v>1933</v>
      </c>
      <c r="V454" s="34" t="s">
        <v>1933</v>
      </c>
      <c r="W454" s="34"/>
      <c r="X454" s="34"/>
      <c r="Y454" s="34"/>
      <c r="Z454" s="94" t="s">
        <v>3786</v>
      </c>
    </row>
    <row r="455" spans="1:26" ht="16.95" customHeight="1" x14ac:dyDescent="0.25">
      <c r="A455" s="34" t="s">
        <v>3944</v>
      </c>
      <c r="B455" s="34">
        <v>4</v>
      </c>
      <c r="C455" s="34" t="s">
        <v>2288</v>
      </c>
      <c r="D455" s="34"/>
      <c r="E455" s="34" t="s">
        <v>1933</v>
      </c>
      <c r="F455" s="35" t="s">
        <v>2251</v>
      </c>
      <c r="G455" s="34" t="s">
        <v>2865</v>
      </c>
      <c r="H455" s="34" t="s">
        <v>2290</v>
      </c>
      <c r="I455" s="34" t="s">
        <v>2291</v>
      </c>
      <c r="J455" s="34"/>
      <c r="K455" s="85"/>
      <c r="L455" s="54" t="s">
        <v>3740</v>
      </c>
      <c r="M455" s="55" t="s">
        <v>3945</v>
      </c>
      <c r="N455" s="53" t="s">
        <v>3946</v>
      </c>
      <c r="O455" s="34"/>
      <c r="P455" s="34"/>
      <c r="Q455" s="34"/>
      <c r="R455" s="34"/>
      <c r="S455" s="34"/>
      <c r="T455" s="34" t="s">
        <v>1933</v>
      </c>
      <c r="U455" s="34"/>
      <c r="V455" s="34" t="s">
        <v>1933</v>
      </c>
      <c r="W455" s="34"/>
      <c r="X455" s="34"/>
      <c r="Y455" s="34"/>
      <c r="Z455" s="94" t="s">
        <v>3786</v>
      </c>
    </row>
    <row r="456" spans="1:26" ht="16.95" customHeight="1" x14ac:dyDescent="0.25">
      <c r="A456" s="48" t="s">
        <v>3947</v>
      </c>
      <c r="B456" s="48">
        <v>4</v>
      </c>
      <c r="C456" s="48" t="s">
        <v>2342</v>
      </c>
      <c r="D456" s="48"/>
      <c r="E456" s="48" t="s">
        <v>1933</v>
      </c>
      <c r="F456" s="49" t="s">
        <v>2251</v>
      </c>
      <c r="G456" s="48" t="s">
        <v>2289</v>
      </c>
      <c r="H456" s="48" t="s">
        <v>2290</v>
      </c>
      <c r="I456" s="48" t="s">
        <v>2291</v>
      </c>
      <c r="J456" s="48" t="s">
        <v>2310</v>
      </c>
      <c r="K456" s="90" t="s">
        <v>3907</v>
      </c>
      <c r="L456" s="75" t="s">
        <v>3748</v>
      </c>
      <c r="M456" s="76" t="s">
        <v>3948</v>
      </c>
      <c r="N456" s="74" t="s">
        <v>3949</v>
      </c>
      <c r="O456" s="48"/>
      <c r="P456" s="48"/>
      <c r="Q456" s="48"/>
      <c r="R456" s="48"/>
      <c r="S456" s="48"/>
      <c r="T456" s="48"/>
      <c r="U456" s="48" t="s">
        <v>1933</v>
      </c>
      <c r="V456" s="48" t="s">
        <v>1933</v>
      </c>
      <c r="W456" s="48"/>
      <c r="X456" s="48"/>
      <c r="Y456" s="48"/>
      <c r="Z456" s="94" t="s">
        <v>3786</v>
      </c>
    </row>
    <row r="457" spans="1:26" ht="16.95" customHeight="1" x14ac:dyDescent="0.25">
      <c r="A457" s="34" t="s">
        <v>3224</v>
      </c>
      <c r="B457" s="34">
        <v>4</v>
      </c>
      <c r="C457" s="34" t="s">
        <v>2288</v>
      </c>
      <c r="D457" s="34"/>
      <c r="E457" s="34"/>
      <c r="F457" s="35" t="s">
        <v>2251</v>
      </c>
      <c r="G457" s="34" t="s">
        <v>2865</v>
      </c>
      <c r="H457" s="34" t="s">
        <v>2290</v>
      </c>
      <c r="I457" s="34" t="s">
        <v>2291</v>
      </c>
      <c r="J457" s="34" t="s">
        <v>2310</v>
      </c>
      <c r="K457" s="85" t="s">
        <v>3950</v>
      </c>
      <c r="L457" s="54" t="s">
        <v>2292</v>
      </c>
      <c r="M457" s="55" t="s">
        <v>3951</v>
      </c>
      <c r="N457" s="53" t="s">
        <v>3227</v>
      </c>
      <c r="O457" s="34"/>
      <c r="P457" s="34"/>
      <c r="Q457" s="34"/>
      <c r="R457" s="34"/>
      <c r="S457" s="34"/>
      <c r="T457" s="34" t="s">
        <v>1933</v>
      </c>
      <c r="U457" s="34"/>
      <c r="V457" s="34" t="s">
        <v>1933</v>
      </c>
      <c r="W457" s="34"/>
      <c r="X457" s="34"/>
      <c r="Y457" s="34"/>
      <c r="Z457" s="94" t="s">
        <v>3786</v>
      </c>
    </row>
    <row r="458" spans="1:26" ht="16.95" customHeight="1" x14ac:dyDescent="0.25">
      <c r="A458" s="48" t="s">
        <v>3952</v>
      </c>
      <c r="B458" s="48">
        <v>4</v>
      </c>
      <c r="C458" s="48" t="s">
        <v>2342</v>
      </c>
      <c r="D458" s="48"/>
      <c r="E458" s="48" t="s">
        <v>1933</v>
      </c>
      <c r="F458" s="49" t="s">
        <v>2251</v>
      </c>
      <c r="G458" s="48" t="s">
        <v>2457</v>
      </c>
      <c r="H458" s="48" t="s">
        <v>2290</v>
      </c>
      <c r="I458" s="48" t="s">
        <v>2291</v>
      </c>
      <c r="J458" s="48" t="s">
        <v>2310</v>
      </c>
      <c r="K458" s="90" t="s">
        <v>3914</v>
      </c>
      <c r="L458" s="75" t="s">
        <v>3740</v>
      </c>
      <c r="M458" s="76" t="s">
        <v>3953</v>
      </c>
      <c r="N458" s="74" t="s">
        <v>3954</v>
      </c>
      <c r="O458" s="48"/>
      <c r="P458" s="48"/>
      <c r="Q458" s="48" t="s">
        <v>1933</v>
      </c>
      <c r="R458" s="48"/>
      <c r="S458" s="48"/>
      <c r="T458" s="48" t="s">
        <v>1933</v>
      </c>
      <c r="U458" s="48"/>
      <c r="V458" s="48" t="s">
        <v>1933</v>
      </c>
      <c r="W458" s="48"/>
      <c r="X458" s="48"/>
      <c r="Y458" s="48"/>
      <c r="Z458" s="94" t="s">
        <v>3786</v>
      </c>
    </row>
    <row r="459" spans="1:26" ht="16.95" customHeight="1" x14ac:dyDescent="0.25">
      <c r="A459" s="42" t="s">
        <v>3955</v>
      </c>
      <c r="B459" s="42">
        <v>5</v>
      </c>
      <c r="C459" s="42" t="s">
        <v>2315</v>
      </c>
      <c r="D459" s="42"/>
      <c r="E459" s="42" t="s">
        <v>1933</v>
      </c>
      <c r="F459" s="43" t="s">
        <v>2251</v>
      </c>
      <c r="G459" s="42" t="s">
        <v>3118</v>
      </c>
      <c r="H459" s="42" t="s">
        <v>2290</v>
      </c>
      <c r="I459" s="42" t="s">
        <v>2291</v>
      </c>
      <c r="J459" s="42"/>
      <c r="K459" s="89"/>
      <c r="L459" s="66" t="s">
        <v>3748</v>
      </c>
      <c r="M459" s="67" t="s">
        <v>3956</v>
      </c>
      <c r="N459" s="65" t="s">
        <v>3957</v>
      </c>
      <c r="O459" s="42"/>
      <c r="P459" s="42"/>
      <c r="Q459" s="42" t="s">
        <v>1933</v>
      </c>
      <c r="R459" s="42"/>
      <c r="S459" s="42"/>
      <c r="T459" s="42" t="s">
        <v>1933</v>
      </c>
      <c r="U459" s="42"/>
      <c r="V459" s="42" t="s">
        <v>1933</v>
      </c>
      <c r="W459" s="42"/>
      <c r="X459" s="42"/>
      <c r="Y459" s="42"/>
      <c r="Z459" s="94" t="s">
        <v>3786</v>
      </c>
    </row>
    <row r="460" spans="1:26" ht="16.95" customHeight="1" x14ac:dyDescent="0.25">
      <c r="A460" s="38" t="s">
        <v>3958</v>
      </c>
      <c r="B460" s="38">
        <v>5</v>
      </c>
      <c r="C460" s="38" t="s">
        <v>2303</v>
      </c>
      <c r="D460" s="38"/>
      <c r="E460" s="38" t="s">
        <v>1933</v>
      </c>
      <c r="F460" s="39" t="s">
        <v>2251</v>
      </c>
      <c r="G460" s="38" t="s">
        <v>2289</v>
      </c>
      <c r="H460" s="38" t="s">
        <v>2290</v>
      </c>
      <c r="I460" s="38" t="s">
        <v>2291</v>
      </c>
      <c r="J460" s="38"/>
      <c r="K460" s="88"/>
      <c r="L460" s="60" t="s">
        <v>3748</v>
      </c>
      <c r="M460" s="61" t="s">
        <v>3959</v>
      </c>
      <c r="N460" s="59" t="s">
        <v>3960</v>
      </c>
      <c r="O460" s="38"/>
      <c r="P460" s="38"/>
      <c r="Q460" s="38"/>
      <c r="R460" s="38"/>
      <c r="S460" s="38"/>
      <c r="T460" s="38"/>
      <c r="U460" s="38" t="s">
        <v>1933</v>
      </c>
      <c r="V460" s="38" t="s">
        <v>1933</v>
      </c>
      <c r="W460" s="38"/>
      <c r="X460" s="38"/>
      <c r="Y460" s="38"/>
      <c r="Z460" s="94" t="s">
        <v>3786</v>
      </c>
    </row>
    <row r="461" spans="1:26" ht="16.95" customHeight="1" x14ac:dyDescent="0.25">
      <c r="A461" s="34" t="s">
        <v>3961</v>
      </c>
      <c r="B461" s="34">
        <v>5</v>
      </c>
      <c r="C461" s="34" t="s">
        <v>2288</v>
      </c>
      <c r="D461" s="34"/>
      <c r="E461" s="34" t="s">
        <v>1933</v>
      </c>
      <c r="F461" s="35" t="s">
        <v>2251</v>
      </c>
      <c r="G461" s="34" t="s">
        <v>2289</v>
      </c>
      <c r="H461" s="34" t="s">
        <v>2290</v>
      </c>
      <c r="I461" s="34" t="s">
        <v>2291</v>
      </c>
      <c r="J461" s="34" t="s">
        <v>2310</v>
      </c>
      <c r="K461" s="85" t="s">
        <v>3962</v>
      </c>
      <c r="L461" s="54" t="s">
        <v>3740</v>
      </c>
      <c r="M461" s="55" t="s">
        <v>3963</v>
      </c>
      <c r="N461" s="53" t="s">
        <v>3964</v>
      </c>
      <c r="O461" s="34"/>
      <c r="P461" s="34" t="s">
        <v>1933</v>
      </c>
      <c r="Q461" s="34"/>
      <c r="R461" s="34"/>
      <c r="S461" s="34"/>
      <c r="T461" s="34"/>
      <c r="U461" s="34"/>
      <c r="V461" s="34" t="s">
        <v>1933</v>
      </c>
      <c r="W461" s="34"/>
      <c r="X461" s="34"/>
      <c r="Y461" s="34"/>
      <c r="Z461" s="94" t="s">
        <v>3786</v>
      </c>
    </row>
    <row r="462" spans="1:26" ht="16.95" customHeight="1" x14ac:dyDescent="0.25">
      <c r="A462" s="38" t="s">
        <v>3965</v>
      </c>
      <c r="B462" s="38">
        <v>5</v>
      </c>
      <c r="C462" s="38" t="s">
        <v>2303</v>
      </c>
      <c r="D462" s="38"/>
      <c r="E462" s="38" t="s">
        <v>1933</v>
      </c>
      <c r="F462" s="39" t="s">
        <v>2251</v>
      </c>
      <c r="G462" s="38" t="s">
        <v>2289</v>
      </c>
      <c r="H462" s="38" t="s">
        <v>2290</v>
      </c>
      <c r="I462" s="38" t="s">
        <v>2291</v>
      </c>
      <c r="J462" s="38"/>
      <c r="K462" s="88"/>
      <c r="L462" s="60" t="s">
        <v>3740</v>
      </c>
      <c r="M462" s="61" t="s">
        <v>3966</v>
      </c>
      <c r="N462" s="59" t="s">
        <v>3967</v>
      </c>
      <c r="O462" s="38"/>
      <c r="P462" s="38"/>
      <c r="Q462" s="38"/>
      <c r="R462" s="38"/>
      <c r="S462" s="38"/>
      <c r="T462" s="38" t="s">
        <v>1933</v>
      </c>
      <c r="U462" s="38" t="s">
        <v>1933</v>
      </c>
      <c r="V462" s="38" t="s">
        <v>1933</v>
      </c>
      <c r="W462" s="38"/>
      <c r="X462" s="38"/>
      <c r="Y462" s="38"/>
      <c r="Z462" s="94" t="s">
        <v>3786</v>
      </c>
    </row>
    <row r="463" spans="1:26" ht="16.95" customHeight="1" x14ac:dyDescent="0.25">
      <c r="A463" s="48" t="s">
        <v>3968</v>
      </c>
      <c r="B463" s="48">
        <v>5</v>
      </c>
      <c r="C463" s="48" t="s">
        <v>2342</v>
      </c>
      <c r="D463" s="48"/>
      <c r="E463" s="48" t="s">
        <v>1933</v>
      </c>
      <c r="F463" s="49" t="s">
        <v>2251</v>
      </c>
      <c r="G463" s="48" t="s">
        <v>2298</v>
      </c>
      <c r="H463" s="48" t="s">
        <v>2290</v>
      </c>
      <c r="I463" s="48"/>
      <c r="J463" s="48"/>
      <c r="K463" s="90"/>
      <c r="L463" s="75" t="s">
        <v>3740</v>
      </c>
      <c r="M463" s="76" t="s">
        <v>3969</v>
      </c>
      <c r="N463" s="74" t="s">
        <v>3970</v>
      </c>
      <c r="O463" s="48"/>
      <c r="P463" s="48"/>
      <c r="Q463" s="48"/>
      <c r="R463" s="48"/>
      <c r="S463" s="48"/>
      <c r="T463" s="48" t="s">
        <v>1933</v>
      </c>
      <c r="U463" s="48" t="s">
        <v>1933</v>
      </c>
      <c r="V463" s="48" t="s">
        <v>1933</v>
      </c>
      <c r="W463" s="48"/>
      <c r="X463" s="48"/>
      <c r="Y463" s="48"/>
      <c r="Z463" s="94" t="s">
        <v>3786</v>
      </c>
    </row>
    <row r="464" spans="1:26" ht="16.95" customHeight="1" x14ac:dyDescent="0.25">
      <c r="A464" s="34" t="s">
        <v>3971</v>
      </c>
      <c r="B464" s="34">
        <v>5</v>
      </c>
      <c r="C464" s="34" t="s">
        <v>2288</v>
      </c>
      <c r="D464" s="34"/>
      <c r="E464" s="34" t="s">
        <v>1933</v>
      </c>
      <c r="F464" s="35" t="s">
        <v>2370</v>
      </c>
      <c r="G464" s="34" t="s">
        <v>3801</v>
      </c>
      <c r="H464" s="34" t="s">
        <v>2290</v>
      </c>
      <c r="I464" s="34" t="s">
        <v>2291</v>
      </c>
      <c r="J464" s="34"/>
      <c r="K464" s="85"/>
      <c r="L464" s="54" t="s">
        <v>3748</v>
      </c>
      <c r="M464" s="55" t="s">
        <v>3972</v>
      </c>
      <c r="N464" s="53" t="s">
        <v>3973</v>
      </c>
      <c r="O464" s="34"/>
      <c r="P464" s="34" t="s">
        <v>1933</v>
      </c>
      <c r="Q464" s="34"/>
      <c r="R464" s="34" t="s">
        <v>1933</v>
      </c>
      <c r="S464" s="34"/>
      <c r="T464" s="34"/>
      <c r="U464" s="34"/>
      <c r="V464" s="34"/>
      <c r="W464" s="34"/>
      <c r="X464" s="34"/>
      <c r="Y464" s="34"/>
      <c r="Z464" s="94" t="s">
        <v>3786</v>
      </c>
    </row>
    <row r="465" spans="1:26" ht="16.95" customHeight="1" x14ac:dyDescent="0.25">
      <c r="A465" s="34" t="s">
        <v>3974</v>
      </c>
      <c r="B465" s="34">
        <v>5</v>
      </c>
      <c r="C465" s="34" t="s">
        <v>2288</v>
      </c>
      <c r="D465" s="34"/>
      <c r="E465" s="34" t="s">
        <v>1933</v>
      </c>
      <c r="F465" s="35" t="s">
        <v>2251</v>
      </c>
      <c r="G465" s="34" t="s">
        <v>2457</v>
      </c>
      <c r="H465" s="34" t="s">
        <v>2290</v>
      </c>
      <c r="I465" s="34"/>
      <c r="J465" s="34"/>
      <c r="K465" s="85"/>
      <c r="L465" s="54" t="s">
        <v>3740</v>
      </c>
      <c r="M465" s="55" t="s">
        <v>3975</v>
      </c>
      <c r="N465" s="53" t="s">
        <v>3976</v>
      </c>
      <c r="O465" s="34"/>
      <c r="P465" s="34"/>
      <c r="Q465" s="34"/>
      <c r="R465" s="34"/>
      <c r="S465" s="34"/>
      <c r="T465" s="34" t="s">
        <v>1933</v>
      </c>
      <c r="U465" s="34"/>
      <c r="V465" s="34" t="s">
        <v>1933</v>
      </c>
      <c r="W465" s="34"/>
      <c r="X465" s="34"/>
      <c r="Y465" s="34"/>
      <c r="Z465" s="94" t="s">
        <v>3786</v>
      </c>
    </row>
    <row r="466" spans="1:26" ht="16.95" customHeight="1" x14ac:dyDescent="0.25">
      <c r="A466" s="48" t="s">
        <v>3977</v>
      </c>
      <c r="B466" s="48">
        <v>5</v>
      </c>
      <c r="C466" s="48" t="s">
        <v>2342</v>
      </c>
      <c r="D466" s="48"/>
      <c r="E466" s="48" t="s">
        <v>1933</v>
      </c>
      <c r="F466" s="49" t="s">
        <v>2343</v>
      </c>
      <c r="G466" s="48" t="s">
        <v>2457</v>
      </c>
      <c r="H466" s="48" t="s">
        <v>2290</v>
      </c>
      <c r="I466" s="48" t="s">
        <v>2291</v>
      </c>
      <c r="J466" s="48" t="s">
        <v>2310</v>
      </c>
      <c r="K466" s="90" t="s">
        <v>3978</v>
      </c>
      <c r="L466" s="75" t="s">
        <v>3748</v>
      </c>
      <c r="M466" s="76" t="s">
        <v>3979</v>
      </c>
      <c r="N466" s="74" t="s">
        <v>3980</v>
      </c>
      <c r="O466" s="48"/>
      <c r="P466" s="48"/>
      <c r="Q466" s="48"/>
      <c r="R466" s="48"/>
      <c r="S466" s="48"/>
      <c r="T466" s="48"/>
      <c r="U466" s="48" t="s">
        <v>1933</v>
      </c>
      <c r="V466" s="48" t="s">
        <v>1933</v>
      </c>
      <c r="W466" s="48"/>
      <c r="X466" s="48"/>
      <c r="Y466" s="48"/>
      <c r="Z466" s="94" t="s">
        <v>3786</v>
      </c>
    </row>
    <row r="467" spans="1:26" ht="16.95" customHeight="1" x14ac:dyDescent="0.25">
      <c r="A467" s="34" t="s">
        <v>3981</v>
      </c>
      <c r="B467" s="34">
        <v>5</v>
      </c>
      <c r="C467" s="34" t="s">
        <v>2288</v>
      </c>
      <c r="D467" s="34"/>
      <c r="E467" s="34" t="s">
        <v>1933</v>
      </c>
      <c r="F467" s="35" t="s">
        <v>2251</v>
      </c>
      <c r="G467" s="34" t="s">
        <v>2309</v>
      </c>
      <c r="H467" s="34" t="s">
        <v>2290</v>
      </c>
      <c r="I467" s="34" t="s">
        <v>2291</v>
      </c>
      <c r="J467" s="34" t="s">
        <v>2310</v>
      </c>
      <c r="K467" s="85" t="s">
        <v>3982</v>
      </c>
      <c r="L467" s="54" t="s">
        <v>3740</v>
      </c>
      <c r="M467" s="55" t="s">
        <v>3983</v>
      </c>
      <c r="N467" s="53" t="s">
        <v>3984</v>
      </c>
      <c r="O467" s="34"/>
      <c r="P467" s="34"/>
      <c r="Q467" s="34" t="s">
        <v>1933</v>
      </c>
      <c r="R467" s="34"/>
      <c r="S467" s="34"/>
      <c r="T467" s="34"/>
      <c r="U467" s="34"/>
      <c r="V467" s="34"/>
      <c r="W467" s="34"/>
      <c r="X467" s="34"/>
      <c r="Y467" s="34"/>
      <c r="Z467" s="94" t="s">
        <v>3786</v>
      </c>
    </row>
    <row r="468" spans="1:26" ht="16.95" customHeight="1" x14ac:dyDescent="0.25">
      <c r="A468" s="38" t="s">
        <v>3985</v>
      </c>
      <c r="B468" s="38">
        <v>5</v>
      </c>
      <c r="C468" s="38" t="s">
        <v>2303</v>
      </c>
      <c r="D468" s="38"/>
      <c r="E468" s="38"/>
      <c r="F468" s="39" t="s">
        <v>2251</v>
      </c>
      <c r="G468" s="38" t="s">
        <v>2289</v>
      </c>
      <c r="H468" s="38" t="s">
        <v>2290</v>
      </c>
      <c r="I468" s="38"/>
      <c r="J468" s="38" t="s">
        <v>2310</v>
      </c>
      <c r="K468" s="88" t="s">
        <v>3986</v>
      </c>
      <c r="L468" s="60" t="s">
        <v>2292</v>
      </c>
      <c r="M468" s="61" t="s">
        <v>3987</v>
      </c>
      <c r="N468" s="59" t="s">
        <v>3988</v>
      </c>
      <c r="O468" s="38"/>
      <c r="P468" s="38"/>
      <c r="Q468" s="38"/>
      <c r="R468" s="38"/>
      <c r="S468" s="38"/>
      <c r="T468" s="38"/>
      <c r="U468" s="38" t="s">
        <v>1933</v>
      </c>
      <c r="V468" s="38" t="s">
        <v>1933</v>
      </c>
      <c r="W468" s="38"/>
      <c r="X468" s="38"/>
      <c r="Y468" s="38"/>
      <c r="Z468" s="94" t="s">
        <v>3786</v>
      </c>
    </row>
    <row r="469" spans="1:26" ht="16.95" customHeight="1" x14ac:dyDescent="0.25">
      <c r="A469" s="42" t="s">
        <v>3989</v>
      </c>
      <c r="B469" s="42">
        <v>5</v>
      </c>
      <c r="C469" s="42" t="s">
        <v>2315</v>
      </c>
      <c r="D469" s="42"/>
      <c r="E469" s="42" t="s">
        <v>1933</v>
      </c>
      <c r="F469" s="43" t="s">
        <v>2251</v>
      </c>
      <c r="G469" s="42" t="s">
        <v>3801</v>
      </c>
      <c r="H469" s="42" t="s">
        <v>2290</v>
      </c>
      <c r="I469" s="42" t="s">
        <v>2291</v>
      </c>
      <c r="J469" s="42"/>
      <c r="K469" s="89"/>
      <c r="L469" s="66" t="s">
        <v>3748</v>
      </c>
      <c r="M469" s="67" t="s">
        <v>3990</v>
      </c>
      <c r="N469" s="65" t="s">
        <v>3991</v>
      </c>
      <c r="O469" s="42" t="s">
        <v>1933</v>
      </c>
      <c r="P469" s="42"/>
      <c r="Q469" s="42"/>
      <c r="R469" s="42"/>
      <c r="S469" s="42"/>
      <c r="T469" s="42" t="s">
        <v>1933</v>
      </c>
      <c r="U469" s="42"/>
      <c r="V469" s="42" t="s">
        <v>1933</v>
      </c>
      <c r="W469" s="42" t="s">
        <v>1933</v>
      </c>
      <c r="X469" s="42"/>
      <c r="Y469" s="42"/>
      <c r="Z469" s="94" t="s">
        <v>3786</v>
      </c>
    </row>
    <row r="470" spans="1:26" ht="16.95" customHeight="1" x14ac:dyDescent="0.25">
      <c r="A470" s="48" t="s">
        <v>3366</v>
      </c>
      <c r="B470" s="48">
        <v>5</v>
      </c>
      <c r="C470" s="48" t="s">
        <v>2342</v>
      </c>
      <c r="D470" s="48"/>
      <c r="E470" s="48"/>
      <c r="F470" s="49" t="s">
        <v>2251</v>
      </c>
      <c r="G470" s="48" t="s">
        <v>2018</v>
      </c>
      <c r="H470" s="48"/>
      <c r="I470" s="48" t="s">
        <v>2291</v>
      </c>
      <c r="J470" s="48" t="s">
        <v>2310</v>
      </c>
      <c r="K470" s="90" t="s">
        <v>3992</v>
      </c>
      <c r="L470" s="75" t="s">
        <v>2292</v>
      </c>
      <c r="M470" s="76" t="s">
        <v>3993</v>
      </c>
      <c r="N470" s="74" t="s">
        <v>3369</v>
      </c>
      <c r="O470" s="48"/>
      <c r="P470" s="48"/>
      <c r="Q470" s="48"/>
      <c r="R470" s="48"/>
      <c r="S470" s="48" t="s">
        <v>1933</v>
      </c>
      <c r="T470" s="48"/>
      <c r="U470" s="48"/>
      <c r="V470" s="48" t="s">
        <v>1933</v>
      </c>
      <c r="W470" s="48"/>
      <c r="X470" s="48"/>
      <c r="Y470" s="48"/>
      <c r="Z470" s="94" t="s">
        <v>3786</v>
      </c>
    </row>
    <row r="471" spans="1:26" ht="16.95" customHeight="1" x14ac:dyDescent="0.25">
      <c r="A471" s="44" t="s">
        <v>3382</v>
      </c>
      <c r="B471" s="44">
        <v>5</v>
      </c>
      <c r="C471" s="44" t="s">
        <v>2328</v>
      </c>
      <c r="D471" s="44"/>
      <c r="E471" s="44"/>
      <c r="F471" s="45" t="s">
        <v>2251</v>
      </c>
      <c r="G471" s="44" t="s">
        <v>2309</v>
      </c>
      <c r="H471" s="44" t="s">
        <v>2290</v>
      </c>
      <c r="I471" s="44" t="s">
        <v>2291</v>
      </c>
      <c r="J471" s="44"/>
      <c r="K471" s="86"/>
      <c r="L471" s="69" t="s">
        <v>2292</v>
      </c>
      <c r="M471" s="70" t="s">
        <v>3994</v>
      </c>
      <c r="N471" s="68" t="s">
        <v>3384</v>
      </c>
      <c r="O471" s="44" t="s">
        <v>1933</v>
      </c>
      <c r="P471" s="44"/>
      <c r="Q471" s="44"/>
      <c r="R471" s="44"/>
      <c r="S471" s="44"/>
      <c r="T471" s="44" t="s">
        <v>1933</v>
      </c>
      <c r="U471" s="44" t="s">
        <v>1933</v>
      </c>
      <c r="V471" s="44" t="s">
        <v>1933</v>
      </c>
      <c r="W471" s="44"/>
      <c r="X471" s="44"/>
      <c r="Y471" s="44"/>
      <c r="Z471" s="94" t="s">
        <v>3786</v>
      </c>
    </row>
    <row r="472" spans="1:26" ht="16.95" customHeight="1" x14ac:dyDescent="0.25">
      <c r="A472" s="42" t="s">
        <v>3995</v>
      </c>
      <c r="B472" s="42">
        <v>5</v>
      </c>
      <c r="C472" s="42" t="s">
        <v>2315</v>
      </c>
      <c r="D472" s="42"/>
      <c r="E472" s="42"/>
      <c r="F472" s="43" t="s">
        <v>2251</v>
      </c>
      <c r="G472" s="42" t="s">
        <v>2309</v>
      </c>
      <c r="H472" s="42" t="s">
        <v>2290</v>
      </c>
      <c r="I472" s="42" t="s">
        <v>2291</v>
      </c>
      <c r="J472" s="42" t="s">
        <v>2310</v>
      </c>
      <c r="K472" s="89" t="s">
        <v>3996</v>
      </c>
      <c r="L472" s="66" t="s">
        <v>2705</v>
      </c>
      <c r="M472" s="67" t="s">
        <v>3997</v>
      </c>
      <c r="N472" s="65" t="s">
        <v>3998</v>
      </c>
      <c r="O472" s="42"/>
      <c r="P472" s="42"/>
      <c r="Q472" s="42" t="s">
        <v>1933</v>
      </c>
      <c r="R472" s="42"/>
      <c r="S472" s="42"/>
      <c r="T472" s="42"/>
      <c r="U472" s="42"/>
      <c r="V472" s="42" t="s">
        <v>1933</v>
      </c>
      <c r="W472" s="42" t="s">
        <v>1933</v>
      </c>
      <c r="X472" s="42"/>
      <c r="Y472" s="42"/>
      <c r="Z472" s="94" t="s">
        <v>3786</v>
      </c>
    </row>
    <row r="473" spans="1:26" ht="16.95" customHeight="1" x14ac:dyDescent="0.25">
      <c r="A473" s="34" t="s">
        <v>3999</v>
      </c>
      <c r="B473" s="34">
        <v>5</v>
      </c>
      <c r="C473" s="34" t="s">
        <v>2288</v>
      </c>
      <c r="D473" s="34"/>
      <c r="E473" s="34" t="s">
        <v>1933</v>
      </c>
      <c r="F473" s="35" t="s">
        <v>2251</v>
      </c>
      <c r="G473" s="34" t="s">
        <v>2309</v>
      </c>
      <c r="H473" s="34" t="s">
        <v>2290</v>
      </c>
      <c r="I473" s="34" t="s">
        <v>2291</v>
      </c>
      <c r="J473" s="34" t="s">
        <v>2310</v>
      </c>
      <c r="K473" s="85" t="s">
        <v>4000</v>
      </c>
      <c r="L473" s="54" t="s">
        <v>3819</v>
      </c>
      <c r="M473" s="55" t="s">
        <v>4001</v>
      </c>
      <c r="N473" s="53" t="s">
        <v>4002</v>
      </c>
      <c r="O473" s="34"/>
      <c r="P473" s="34"/>
      <c r="Q473" s="34"/>
      <c r="R473" s="34"/>
      <c r="S473" s="34"/>
      <c r="T473" s="34" t="s">
        <v>1933</v>
      </c>
      <c r="U473" s="34" t="s">
        <v>1933</v>
      </c>
      <c r="V473" s="34" t="s">
        <v>1933</v>
      </c>
      <c r="W473" s="34"/>
      <c r="X473" s="34"/>
      <c r="Y473" s="34"/>
      <c r="Z473" s="94" t="s">
        <v>3786</v>
      </c>
    </row>
    <row r="474" spans="1:26" ht="16.95" customHeight="1" x14ac:dyDescent="0.25">
      <c r="A474" s="34" t="s">
        <v>1589</v>
      </c>
      <c r="B474" s="34">
        <v>5</v>
      </c>
      <c r="C474" s="34" t="s">
        <v>2288</v>
      </c>
      <c r="D474" s="34"/>
      <c r="E474" s="34" t="s">
        <v>1933</v>
      </c>
      <c r="F474" s="35" t="s">
        <v>2251</v>
      </c>
      <c r="G474" s="34" t="s">
        <v>2309</v>
      </c>
      <c r="H474" s="34" t="s">
        <v>2290</v>
      </c>
      <c r="I474" s="34" t="s">
        <v>2291</v>
      </c>
      <c r="J474" s="34"/>
      <c r="K474" s="85"/>
      <c r="L474" s="54" t="s">
        <v>3740</v>
      </c>
      <c r="M474" s="55" t="s">
        <v>4003</v>
      </c>
      <c r="N474" s="53" t="s">
        <v>4004</v>
      </c>
      <c r="O474" s="34"/>
      <c r="P474" s="34"/>
      <c r="Q474" s="34" t="s">
        <v>1933</v>
      </c>
      <c r="R474" s="34"/>
      <c r="S474" s="34" t="s">
        <v>1933</v>
      </c>
      <c r="T474" s="34"/>
      <c r="U474" s="34"/>
      <c r="V474" s="34"/>
      <c r="W474" s="34"/>
      <c r="X474" s="34"/>
      <c r="Y474" s="34"/>
      <c r="Z474" s="94" t="s">
        <v>3786</v>
      </c>
    </row>
    <row r="475" spans="1:26" ht="16.95" customHeight="1" x14ac:dyDescent="0.25">
      <c r="A475" s="42" t="s">
        <v>4005</v>
      </c>
      <c r="B475" s="42">
        <v>6</v>
      </c>
      <c r="C475" s="42" t="s">
        <v>2315</v>
      </c>
      <c r="D475" s="42"/>
      <c r="E475" s="42"/>
      <c r="F475" s="43" t="s">
        <v>2251</v>
      </c>
      <c r="G475" s="42" t="s">
        <v>2309</v>
      </c>
      <c r="H475" s="42" t="s">
        <v>2290</v>
      </c>
      <c r="I475" s="42" t="s">
        <v>2291</v>
      </c>
      <c r="J475" s="42"/>
      <c r="K475" s="89"/>
      <c r="L475" s="66" t="s">
        <v>2292</v>
      </c>
      <c r="M475" s="67" t="s">
        <v>4006</v>
      </c>
      <c r="N475" s="65" t="s">
        <v>4007</v>
      </c>
      <c r="O475" s="42"/>
      <c r="P475" s="42"/>
      <c r="Q475" s="42" t="s">
        <v>1933</v>
      </c>
      <c r="R475" s="42"/>
      <c r="S475" s="42"/>
      <c r="T475" s="42"/>
      <c r="U475" s="42"/>
      <c r="V475" s="42"/>
      <c r="W475" s="42"/>
      <c r="X475" s="42"/>
      <c r="Y475" s="42"/>
      <c r="Z475" s="94" t="s">
        <v>3786</v>
      </c>
    </row>
    <row r="476" spans="1:26" ht="16.95" customHeight="1" x14ac:dyDescent="0.25">
      <c r="A476" s="42" t="s">
        <v>4008</v>
      </c>
      <c r="B476" s="42">
        <v>6</v>
      </c>
      <c r="C476" s="42" t="s">
        <v>2315</v>
      </c>
      <c r="D476" s="42"/>
      <c r="E476" s="42"/>
      <c r="F476" s="43" t="s">
        <v>2338</v>
      </c>
      <c r="G476" s="42" t="s">
        <v>3801</v>
      </c>
      <c r="H476" s="42" t="s">
        <v>2290</v>
      </c>
      <c r="I476" s="42" t="s">
        <v>2291</v>
      </c>
      <c r="J476" s="42" t="s">
        <v>2310</v>
      </c>
      <c r="K476" s="89" t="s">
        <v>4009</v>
      </c>
      <c r="L476" s="66" t="s">
        <v>2292</v>
      </c>
      <c r="M476" s="67" t="s">
        <v>4010</v>
      </c>
      <c r="N476" s="65" t="s">
        <v>4011</v>
      </c>
      <c r="O476" s="42"/>
      <c r="P476" s="42"/>
      <c r="Q476" s="42"/>
      <c r="R476" s="42"/>
      <c r="S476" s="42"/>
      <c r="T476" s="42"/>
      <c r="U476" s="42"/>
      <c r="V476" s="42" t="s">
        <v>1933</v>
      </c>
      <c r="W476" s="42"/>
      <c r="X476" s="42"/>
      <c r="Y476" s="42"/>
      <c r="Z476" s="94" t="s">
        <v>3786</v>
      </c>
    </row>
    <row r="477" spans="1:26" ht="16.95" customHeight="1" x14ac:dyDescent="0.25">
      <c r="A477" s="36" t="s">
        <v>4012</v>
      </c>
      <c r="B477" s="36">
        <v>6</v>
      </c>
      <c r="C477" s="36" t="s">
        <v>2297</v>
      </c>
      <c r="D477" s="36"/>
      <c r="E477" s="36"/>
      <c r="F477" s="37" t="s">
        <v>2371</v>
      </c>
      <c r="G477" s="36" t="s">
        <v>3801</v>
      </c>
      <c r="H477" s="36" t="s">
        <v>2290</v>
      </c>
      <c r="I477" s="36" t="s">
        <v>2291</v>
      </c>
      <c r="J477" s="36" t="s">
        <v>2310</v>
      </c>
      <c r="K477" s="87" t="s">
        <v>4013</v>
      </c>
      <c r="L477" s="57" t="s">
        <v>2432</v>
      </c>
      <c r="M477" s="58" t="s">
        <v>4014</v>
      </c>
      <c r="N477" s="56" t="s">
        <v>4015</v>
      </c>
      <c r="O477" s="36"/>
      <c r="P477" s="36"/>
      <c r="Q477" s="36" t="s">
        <v>1933</v>
      </c>
      <c r="R477" s="36"/>
      <c r="S477" s="36"/>
      <c r="T477" s="36"/>
      <c r="U477" s="36"/>
      <c r="V477" s="36"/>
      <c r="W477" s="36"/>
      <c r="X477" s="36"/>
      <c r="Y477" s="36"/>
      <c r="Z477" s="94" t="s">
        <v>3786</v>
      </c>
    </row>
    <row r="478" spans="1:26" ht="16.95" customHeight="1" x14ac:dyDescent="0.25">
      <c r="A478" s="42" t="s">
        <v>4016</v>
      </c>
      <c r="B478" s="42">
        <v>6</v>
      </c>
      <c r="C478" s="42" t="s">
        <v>2315</v>
      </c>
      <c r="D478" s="42"/>
      <c r="E478" s="42" t="s">
        <v>1933</v>
      </c>
      <c r="F478" s="43" t="s">
        <v>2251</v>
      </c>
      <c r="G478" s="42" t="s">
        <v>2298</v>
      </c>
      <c r="H478" s="42" t="s">
        <v>2290</v>
      </c>
      <c r="I478" s="42" t="s">
        <v>2291</v>
      </c>
      <c r="J478" s="42"/>
      <c r="K478" s="89"/>
      <c r="L478" s="66" t="s">
        <v>3819</v>
      </c>
      <c r="M478" s="67" t="s">
        <v>4017</v>
      </c>
      <c r="N478" s="65" t="s">
        <v>4018</v>
      </c>
      <c r="O478" s="42"/>
      <c r="P478" s="42"/>
      <c r="Q478" s="42" t="s">
        <v>1933</v>
      </c>
      <c r="R478" s="42"/>
      <c r="S478" s="42"/>
      <c r="T478" s="42" t="s">
        <v>1933</v>
      </c>
      <c r="U478" s="42" t="s">
        <v>1933</v>
      </c>
      <c r="V478" s="42" t="s">
        <v>1933</v>
      </c>
      <c r="W478" s="42"/>
      <c r="X478" s="42"/>
      <c r="Y478" s="42"/>
      <c r="Z478" s="94" t="s">
        <v>3786</v>
      </c>
    </row>
    <row r="479" spans="1:26" ht="16.95" customHeight="1" x14ac:dyDescent="0.25">
      <c r="A479" s="42" t="s">
        <v>4019</v>
      </c>
      <c r="B479" s="42">
        <v>6</v>
      </c>
      <c r="C479" s="42" t="s">
        <v>2315</v>
      </c>
      <c r="D479" s="42"/>
      <c r="E479" s="42" t="s">
        <v>1933</v>
      </c>
      <c r="F479" s="43" t="s">
        <v>2251</v>
      </c>
      <c r="G479" s="42" t="s">
        <v>2298</v>
      </c>
      <c r="H479" s="42" t="s">
        <v>2290</v>
      </c>
      <c r="I479" s="42" t="s">
        <v>2291</v>
      </c>
      <c r="J479" s="42"/>
      <c r="K479" s="89"/>
      <c r="L479" s="66" t="s">
        <v>3819</v>
      </c>
      <c r="M479" s="67" t="s">
        <v>4020</v>
      </c>
      <c r="N479" s="65" t="s">
        <v>4021</v>
      </c>
      <c r="O479" s="42"/>
      <c r="P479" s="42"/>
      <c r="Q479" s="42" t="s">
        <v>1933</v>
      </c>
      <c r="R479" s="42"/>
      <c r="S479" s="42"/>
      <c r="T479" s="42" t="s">
        <v>1933</v>
      </c>
      <c r="U479" s="42" t="s">
        <v>1933</v>
      </c>
      <c r="V479" s="42" t="s">
        <v>1933</v>
      </c>
      <c r="W479" s="42"/>
      <c r="X479" s="42"/>
      <c r="Y479" s="42"/>
      <c r="Z479" s="94" t="s">
        <v>3786</v>
      </c>
    </row>
    <row r="480" spans="1:26" ht="16.95" customHeight="1" x14ac:dyDescent="0.25">
      <c r="A480" s="42" t="s">
        <v>4022</v>
      </c>
      <c r="B480" s="42">
        <v>6</v>
      </c>
      <c r="C480" s="42" t="s">
        <v>2315</v>
      </c>
      <c r="D480" s="42"/>
      <c r="E480" s="42" t="s">
        <v>1933</v>
      </c>
      <c r="F480" s="43" t="s">
        <v>2251</v>
      </c>
      <c r="G480" s="42" t="s">
        <v>2298</v>
      </c>
      <c r="H480" s="42" t="s">
        <v>2290</v>
      </c>
      <c r="I480" s="42" t="s">
        <v>2291</v>
      </c>
      <c r="J480" s="42"/>
      <c r="K480" s="89"/>
      <c r="L480" s="66" t="s">
        <v>3819</v>
      </c>
      <c r="M480" s="67" t="s">
        <v>4023</v>
      </c>
      <c r="N480" s="65" t="s">
        <v>4024</v>
      </c>
      <c r="O480" s="42"/>
      <c r="P480" s="42"/>
      <c r="Q480" s="42" t="s">
        <v>1933</v>
      </c>
      <c r="R480" s="42"/>
      <c r="S480" s="42"/>
      <c r="T480" s="42" t="s">
        <v>1933</v>
      </c>
      <c r="U480" s="42" t="s">
        <v>1933</v>
      </c>
      <c r="V480" s="42" t="s">
        <v>1933</v>
      </c>
      <c r="W480" s="42"/>
      <c r="X480" s="42"/>
      <c r="Y480" s="42"/>
      <c r="Z480" s="94" t="s">
        <v>3786</v>
      </c>
    </row>
    <row r="481" spans="1:26" ht="16.95" customHeight="1" x14ac:dyDescent="0.25">
      <c r="A481" s="42" t="s">
        <v>4025</v>
      </c>
      <c r="B481" s="42">
        <v>6</v>
      </c>
      <c r="C481" s="42" t="s">
        <v>2315</v>
      </c>
      <c r="D481" s="42"/>
      <c r="E481" s="42" t="s">
        <v>1933</v>
      </c>
      <c r="F481" s="43" t="s">
        <v>2251</v>
      </c>
      <c r="G481" s="42" t="s">
        <v>2298</v>
      </c>
      <c r="H481" s="42" t="s">
        <v>2290</v>
      </c>
      <c r="I481" s="42" t="s">
        <v>2291</v>
      </c>
      <c r="J481" s="42"/>
      <c r="K481" s="89"/>
      <c r="L481" s="66" t="s">
        <v>3819</v>
      </c>
      <c r="M481" s="67" t="s">
        <v>4026</v>
      </c>
      <c r="N481" s="65" t="s">
        <v>4027</v>
      </c>
      <c r="O481" s="42"/>
      <c r="P481" s="42"/>
      <c r="Q481" s="42" t="s">
        <v>1933</v>
      </c>
      <c r="R481" s="42"/>
      <c r="S481" s="42"/>
      <c r="T481" s="42" t="s">
        <v>1933</v>
      </c>
      <c r="U481" s="42" t="s">
        <v>1933</v>
      </c>
      <c r="V481" s="42" t="s">
        <v>1933</v>
      </c>
      <c r="W481" s="42"/>
      <c r="X481" s="42"/>
      <c r="Y481" s="42"/>
      <c r="Z481" s="94" t="s">
        <v>3786</v>
      </c>
    </row>
    <row r="482" spans="1:26" ht="16.95" customHeight="1" x14ac:dyDescent="0.25">
      <c r="A482" s="40" t="s">
        <v>4028</v>
      </c>
      <c r="B482" s="40">
        <v>6</v>
      </c>
      <c r="C482" s="40" t="s">
        <v>2308</v>
      </c>
      <c r="D482" s="40"/>
      <c r="E482" s="40" t="s">
        <v>1933</v>
      </c>
      <c r="F482" s="41" t="s">
        <v>2251</v>
      </c>
      <c r="G482" s="40" t="s">
        <v>2289</v>
      </c>
      <c r="H482" s="40"/>
      <c r="I482" s="40" t="s">
        <v>2291</v>
      </c>
      <c r="J482" s="40"/>
      <c r="K482" s="93"/>
      <c r="L482" s="63" t="s">
        <v>3740</v>
      </c>
      <c r="M482" s="64" t="s">
        <v>4029</v>
      </c>
      <c r="N482" s="62" t="s">
        <v>4030</v>
      </c>
      <c r="O482" s="40"/>
      <c r="P482" s="40"/>
      <c r="Q482" s="40"/>
      <c r="R482" s="40"/>
      <c r="S482" s="40"/>
      <c r="T482" s="40" t="s">
        <v>1933</v>
      </c>
      <c r="U482" s="40" t="s">
        <v>1933</v>
      </c>
      <c r="V482" s="40" t="s">
        <v>1933</v>
      </c>
      <c r="W482" s="40"/>
      <c r="X482" s="40"/>
      <c r="Y482" s="40"/>
      <c r="Z482" s="94" t="s">
        <v>3786</v>
      </c>
    </row>
    <row r="483" spans="1:26" ht="16.95" customHeight="1" x14ac:dyDescent="0.25">
      <c r="A483" s="48" t="s">
        <v>4031</v>
      </c>
      <c r="B483" s="48">
        <v>6</v>
      </c>
      <c r="C483" s="48" t="s">
        <v>2342</v>
      </c>
      <c r="D483" s="48"/>
      <c r="E483" s="48"/>
      <c r="F483" s="49" t="s">
        <v>2251</v>
      </c>
      <c r="G483" s="48" t="s">
        <v>2018</v>
      </c>
      <c r="H483" s="48" t="s">
        <v>2290</v>
      </c>
      <c r="I483" s="48"/>
      <c r="J483" s="48"/>
      <c r="K483" s="90"/>
      <c r="L483" s="75" t="s">
        <v>2292</v>
      </c>
      <c r="M483" s="76" t="s">
        <v>4032</v>
      </c>
      <c r="N483" s="74" t="s">
        <v>4033</v>
      </c>
      <c r="O483" s="48"/>
      <c r="P483" s="48"/>
      <c r="Q483" s="48"/>
      <c r="R483" s="48"/>
      <c r="S483" s="48"/>
      <c r="T483" s="48" t="s">
        <v>1933</v>
      </c>
      <c r="U483" s="48" t="s">
        <v>1933</v>
      </c>
      <c r="V483" s="48" t="s">
        <v>1933</v>
      </c>
      <c r="W483" s="48"/>
      <c r="X483" s="48"/>
      <c r="Y483" s="48"/>
      <c r="Z483" s="94" t="s">
        <v>3786</v>
      </c>
    </row>
    <row r="484" spans="1:26" ht="16.95" customHeight="1" x14ac:dyDescent="0.25">
      <c r="A484" s="38" t="s">
        <v>4034</v>
      </c>
      <c r="B484" s="38">
        <v>6</v>
      </c>
      <c r="C484" s="38" t="s">
        <v>2303</v>
      </c>
      <c r="D484" s="38"/>
      <c r="E484" s="38"/>
      <c r="F484" s="39" t="s">
        <v>4035</v>
      </c>
      <c r="G484" s="38" t="s">
        <v>2289</v>
      </c>
      <c r="H484" s="38" t="s">
        <v>2290</v>
      </c>
      <c r="I484" s="38" t="s">
        <v>2291</v>
      </c>
      <c r="J484" s="38" t="s">
        <v>2310</v>
      </c>
      <c r="K484" s="88" t="s">
        <v>4036</v>
      </c>
      <c r="L484" s="60" t="s">
        <v>2427</v>
      </c>
      <c r="M484" s="61" t="s">
        <v>4037</v>
      </c>
      <c r="N484" s="59" t="s">
        <v>4038</v>
      </c>
      <c r="O484" s="38"/>
      <c r="P484" s="38"/>
      <c r="Q484" s="38"/>
      <c r="R484" s="38"/>
      <c r="S484" s="38"/>
      <c r="T484" s="38"/>
      <c r="U484" s="38" t="s">
        <v>1933</v>
      </c>
      <c r="V484" s="38" t="s">
        <v>1933</v>
      </c>
      <c r="W484" s="38"/>
      <c r="X484" s="38"/>
      <c r="Y484" s="38"/>
      <c r="Z484" s="94" t="s">
        <v>3786</v>
      </c>
    </row>
    <row r="485" spans="1:26" ht="16.95" customHeight="1" x14ac:dyDescent="0.25">
      <c r="A485" s="34" t="s">
        <v>4039</v>
      </c>
      <c r="B485" s="34">
        <v>7</v>
      </c>
      <c r="C485" s="34" t="s">
        <v>2288</v>
      </c>
      <c r="D485" s="34"/>
      <c r="E485" s="34"/>
      <c r="F485" s="35" t="s">
        <v>2251</v>
      </c>
      <c r="G485" s="34" t="s">
        <v>2298</v>
      </c>
      <c r="H485" s="34" t="s">
        <v>2290</v>
      </c>
      <c r="I485" s="34" t="s">
        <v>2291</v>
      </c>
      <c r="J485" s="34"/>
      <c r="K485" s="85"/>
      <c r="L485" s="54" t="s">
        <v>2338</v>
      </c>
      <c r="M485" s="55" t="s">
        <v>4040</v>
      </c>
      <c r="N485" s="53" t="s">
        <v>4041</v>
      </c>
      <c r="O485" s="34"/>
      <c r="P485" s="34"/>
      <c r="Q485" s="34"/>
      <c r="R485" s="34"/>
      <c r="S485" s="34"/>
      <c r="T485" s="34" t="s">
        <v>1933</v>
      </c>
      <c r="U485" s="34" t="s">
        <v>1933</v>
      </c>
      <c r="V485" s="34" t="s">
        <v>1933</v>
      </c>
      <c r="W485" s="34"/>
      <c r="X485" s="34"/>
      <c r="Y485" s="34"/>
      <c r="Z485" s="94" t="s">
        <v>3786</v>
      </c>
    </row>
    <row r="486" spans="1:26" ht="16.95" customHeight="1" x14ac:dyDescent="0.25">
      <c r="A486" s="44" t="s">
        <v>4042</v>
      </c>
      <c r="B486" s="44">
        <v>7</v>
      </c>
      <c r="C486" s="44" t="s">
        <v>2328</v>
      </c>
      <c r="D486" s="44"/>
      <c r="E486" s="44"/>
      <c r="F486" s="45" t="s">
        <v>2251</v>
      </c>
      <c r="G486" s="44" t="s">
        <v>2289</v>
      </c>
      <c r="H486" s="44" t="s">
        <v>2290</v>
      </c>
      <c r="I486" s="44"/>
      <c r="J486" s="44"/>
      <c r="K486" s="86"/>
      <c r="L486" s="69" t="s">
        <v>2292</v>
      </c>
      <c r="M486" s="70" t="s">
        <v>4043</v>
      </c>
      <c r="N486" s="68" t="s">
        <v>4044</v>
      </c>
      <c r="O486" s="44"/>
      <c r="P486" s="44"/>
      <c r="Q486" s="44"/>
      <c r="R486" s="44"/>
      <c r="S486" s="44"/>
      <c r="T486" s="44" t="s">
        <v>1933</v>
      </c>
      <c r="U486" s="44" t="s">
        <v>1933</v>
      </c>
      <c r="V486" s="44" t="s">
        <v>1933</v>
      </c>
      <c r="W486" s="44"/>
      <c r="X486" s="44"/>
      <c r="Y486" s="44"/>
      <c r="Z486" s="94" t="s">
        <v>3786</v>
      </c>
    </row>
    <row r="487" spans="1:26" ht="16.95" customHeight="1" x14ac:dyDescent="0.25">
      <c r="A487" s="48" t="s">
        <v>4045</v>
      </c>
      <c r="B487" s="48">
        <v>7</v>
      </c>
      <c r="C487" s="48" t="s">
        <v>2342</v>
      </c>
      <c r="D487" s="48"/>
      <c r="E487" s="48"/>
      <c r="F487" s="49" t="s">
        <v>2338</v>
      </c>
      <c r="G487" s="48" t="s">
        <v>2309</v>
      </c>
      <c r="H487" s="48" t="s">
        <v>2290</v>
      </c>
      <c r="I487" s="48" t="s">
        <v>2291</v>
      </c>
      <c r="J487" s="48" t="s">
        <v>2310</v>
      </c>
      <c r="K487" s="90" t="s">
        <v>4046</v>
      </c>
      <c r="L487" s="75" t="s">
        <v>2432</v>
      </c>
      <c r="M487" s="76" t="s">
        <v>4047</v>
      </c>
      <c r="N487" s="74" t="s">
        <v>4048</v>
      </c>
      <c r="O487" s="48"/>
      <c r="P487" s="48" t="s">
        <v>1933</v>
      </c>
      <c r="Q487" s="48"/>
      <c r="R487" s="48"/>
      <c r="S487" s="48"/>
      <c r="T487" s="48"/>
      <c r="U487" s="48"/>
      <c r="V487" s="48"/>
      <c r="W487" s="48"/>
      <c r="X487" s="48"/>
      <c r="Y487" s="48"/>
      <c r="Z487" s="94" t="s">
        <v>3786</v>
      </c>
    </row>
    <row r="488" spans="1:26" ht="16.95" customHeight="1" x14ac:dyDescent="0.25">
      <c r="A488" s="34" t="s">
        <v>4049</v>
      </c>
      <c r="B488" s="34">
        <v>7</v>
      </c>
      <c r="C488" s="34" t="s">
        <v>2288</v>
      </c>
      <c r="D488" s="34"/>
      <c r="E488" s="34" t="s">
        <v>1933</v>
      </c>
      <c r="F488" s="35" t="s">
        <v>2251</v>
      </c>
      <c r="G488" s="34" t="s">
        <v>3118</v>
      </c>
      <c r="H488" s="34" t="s">
        <v>2290</v>
      </c>
      <c r="I488" s="34"/>
      <c r="J488" s="34" t="s">
        <v>2310</v>
      </c>
      <c r="K488" s="85" t="s">
        <v>4050</v>
      </c>
      <c r="L488" s="54" t="s">
        <v>3740</v>
      </c>
      <c r="M488" s="55" t="s">
        <v>4051</v>
      </c>
      <c r="N488" s="53" t="s">
        <v>4052</v>
      </c>
      <c r="O488" s="34"/>
      <c r="P488" s="34"/>
      <c r="Q488" s="34" t="s">
        <v>1933</v>
      </c>
      <c r="R488" s="34"/>
      <c r="S488" s="34"/>
      <c r="T488" s="34" t="s">
        <v>1933</v>
      </c>
      <c r="U488" s="34"/>
      <c r="V488" s="34" t="s">
        <v>1933</v>
      </c>
      <c r="W488" s="34"/>
      <c r="X488" s="34"/>
      <c r="Y488" s="34"/>
      <c r="Z488" s="94" t="s">
        <v>3786</v>
      </c>
    </row>
    <row r="489" spans="1:26" ht="16.95" customHeight="1" x14ac:dyDescent="0.25">
      <c r="A489" s="38" t="s">
        <v>4053</v>
      </c>
      <c r="B489" s="38">
        <v>8</v>
      </c>
      <c r="C489" s="38" t="s">
        <v>2303</v>
      </c>
      <c r="D489" s="38"/>
      <c r="E489" s="38"/>
      <c r="F489" s="39" t="s">
        <v>2251</v>
      </c>
      <c r="G489" s="38" t="s">
        <v>2865</v>
      </c>
      <c r="H489" s="38" t="s">
        <v>2290</v>
      </c>
      <c r="I489" s="38" t="s">
        <v>2291</v>
      </c>
      <c r="J489" s="38" t="s">
        <v>2310</v>
      </c>
      <c r="K489" s="88" t="s">
        <v>4054</v>
      </c>
      <c r="L489" s="60" t="s">
        <v>2292</v>
      </c>
      <c r="M489" s="61" t="s">
        <v>4055</v>
      </c>
      <c r="N489" s="59" t="s">
        <v>4056</v>
      </c>
      <c r="O489" s="38"/>
      <c r="P489" s="38"/>
      <c r="Q489" s="38"/>
      <c r="R489" s="38"/>
      <c r="S489" s="38"/>
      <c r="T489" s="38" t="s">
        <v>1933</v>
      </c>
      <c r="U489" s="38"/>
      <c r="V489" s="38" t="s">
        <v>1933</v>
      </c>
      <c r="W489" s="38"/>
      <c r="X489" s="38"/>
      <c r="Y489" s="38"/>
      <c r="Z489" s="94" t="s">
        <v>3786</v>
      </c>
    </row>
    <row r="490" spans="1:26" ht="16.95" customHeight="1" x14ac:dyDescent="0.25">
      <c r="A490" s="40" t="s">
        <v>4057</v>
      </c>
      <c r="B490" s="40">
        <v>8</v>
      </c>
      <c r="C490" s="40" t="s">
        <v>2308</v>
      </c>
      <c r="D490" s="40"/>
      <c r="E490" s="40" t="s">
        <v>1933</v>
      </c>
      <c r="F490" s="41" t="s">
        <v>2251</v>
      </c>
      <c r="G490" s="40" t="s">
        <v>2309</v>
      </c>
      <c r="H490" s="40"/>
      <c r="I490" s="40" t="s">
        <v>2291</v>
      </c>
      <c r="J490" s="40"/>
      <c r="K490" s="93"/>
      <c r="L490" s="63" t="s">
        <v>3740</v>
      </c>
      <c r="M490" s="64" t="s">
        <v>4058</v>
      </c>
      <c r="N490" s="62" t="s">
        <v>4059</v>
      </c>
      <c r="O490" s="40"/>
      <c r="P490" s="40"/>
      <c r="Q490" s="40"/>
      <c r="R490" s="40"/>
      <c r="S490" s="40"/>
      <c r="T490" s="40"/>
      <c r="U490" s="40"/>
      <c r="V490" s="40" t="s">
        <v>1933</v>
      </c>
      <c r="W490" s="40"/>
      <c r="X490" s="40"/>
      <c r="Y490" s="40"/>
      <c r="Z490" s="94" t="s">
        <v>3786</v>
      </c>
    </row>
    <row r="491" spans="1:26" ht="16.95" customHeight="1" x14ac:dyDescent="0.25">
      <c r="A491" s="34" t="s">
        <v>4060</v>
      </c>
      <c r="B491" s="34">
        <v>8</v>
      </c>
      <c r="C491" s="34" t="s">
        <v>2288</v>
      </c>
      <c r="D491" s="34"/>
      <c r="E491" s="34" t="s">
        <v>1933</v>
      </c>
      <c r="F491" s="35" t="s">
        <v>2251</v>
      </c>
      <c r="G491" s="34" t="s">
        <v>2865</v>
      </c>
      <c r="H491" s="34" t="s">
        <v>2290</v>
      </c>
      <c r="I491" s="34"/>
      <c r="J491" s="34" t="s">
        <v>2310</v>
      </c>
      <c r="K491" s="85" t="s">
        <v>4061</v>
      </c>
      <c r="L491" s="54" t="s">
        <v>3819</v>
      </c>
      <c r="M491" s="55" t="s">
        <v>4062</v>
      </c>
      <c r="N491" s="53" t="s">
        <v>4063</v>
      </c>
      <c r="O491" s="34"/>
      <c r="P491" s="34"/>
      <c r="Q491" s="34"/>
      <c r="R491" s="34"/>
      <c r="S491" s="34"/>
      <c r="T491" s="34"/>
      <c r="U491" s="34" t="s">
        <v>1933</v>
      </c>
      <c r="V491" s="34" t="s">
        <v>1933</v>
      </c>
      <c r="W491" s="34"/>
      <c r="X491" s="34"/>
      <c r="Y491" s="34"/>
      <c r="Z491" s="94" t="s">
        <v>3786</v>
      </c>
    </row>
    <row r="492" spans="1:26" ht="16.95" customHeight="1" x14ac:dyDescent="0.25">
      <c r="A492" s="48" t="s">
        <v>4064</v>
      </c>
      <c r="B492" s="48">
        <v>8</v>
      </c>
      <c r="C492" s="48" t="s">
        <v>2342</v>
      </c>
      <c r="D492" s="48"/>
      <c r="E492" s="48"/>
      <c r="F492" s="49" t="s">
        <v>2343</v>
      </c>
      <c r="G492" s="48" t="s">
        <v>2915</v>
      </c>
      <c r="H492" s="48" t="s">
        <v>2290</v>
      </c>
      <c r="I492" s="48" t="s">
        <v>2291</v>
      </c>
      <c r="J492" s="48" t="s">
        <v>2310</v>
      </c>
      <c r="K492" s="90" t="s">
        <v>4065</v>
      </c>
      <c r="L492" s="75" t="s">
        <v>2292</v>
      </c>
      <c r="M492" s="76" t="s">
        <v>4066</v>
      </c>
      <c r="N492" s="74" t="s">
        <v>4067</v>
      </c>
      <c r="O492" s="48"/>
      <c r="P492" s="48"/>
      <c r="Q492" s="48"/>
      <c r="R492" s="48"/>
      <c r="S492" s="48"/>
      <c r="T492" s="48"/>
      <c r="U492" s="48"/>
      <c r="V492" s="48" t="s">
        <v>1933</v>
      </c>
      <c r="W492" s="48"/>
      <c r="X492" s="48"/>
      <c r="Y492" s="48"/>
      <c r="Z492" s="94" t="s">
        <v>3786</v>
      </c>
    </row>
    <row r="493" spans="1:26" ht="16.95" customHeight="1" x14ac:dyDescent="0.25">
      <c r="A493" s="36" t="s">
        <v>4068</v>
      </c>
      <c r="B493" s="36">
        <v>9</v>
      </c>
      <c r="C493" s="36" t="s">
        <v>2297</v>
      </c>
      <c r="D493" s="36"/>
      <c r="E493" s="36" t="s">
        <v>1933</v>
      </c>
      <c r="F493" s="37" t="s">
        <v>2251</v>
      </c>
      <c r="G493" s="36" t="s">
        <v>2298</v>
      </c>
      <c r="H493" s="36" t="s">
        <v>2290</v>
      </c>
      <c r="I493" s="36" t="s">
        <v>2291</v>
      </c>
      <c r="J493" s="36" t="s">
        <v>2310</v>
      </c>
      <c r="K493" s="87" t="s">
        <v>4069</v>
      </c>
      <c r="L493" s="57" t="s">
        <v>3819</v>
      </c>
      <c r="M493" s="58" t="s">
        <v>4070</v>
      </c>
      <c r="N493" s="56" t="s">
        <v>4071</v>
      </c>
      <c r="O493" s="36"/>
      <c r="P493" s="36"/>
      <c r="Q493" s="36"/>
      <c r="R493" s="36"/>
      <c r="S493" s="36"/>
      <c r="T493" s="36"/>
      <c r="U493" s="36"/>
      <c r="V493" s="36" t="s">
        <v>1933</v>
      </c>
      <c r="W493" s="36"/>
      <c r="X493" s="36"/>
      <c r="Y493" s="36"/>
      <c r="Z493" s="94" t="s">
        <v>3786</v>
      </c>
    </row>
    <row r="494" spans="1:26" ht="16.95" customHeight="1" x14ac:dyDescent="0.25">
      <c r="A494" s="42" t="s">
        <v>4072</v>
      </c>
      <c r="B494" s="42">
        <v>9</v>
      </c>
      <c r="C494" s="42" t="s">
        <v>2315</v>
      </c>
      <c r="D494" s="42"/>
      <c r="E494" s="42" t="s">
        <v>1933</v>
      </c>
      <c r="F494" s="43" t="s">
        <v>2251</v>
      </c>
      <c r="G494" s="42" t="s">
        <v>2309</v>
      </c>
      <c r="H494" s="42" t="s">
        <v>2290</v>
      </c>
      <c r="I494" s="42" t="s">
        <v>2291</v>
      </c>
      <c r="J494" s="42" t="s">
        <v>2310</v>
      </c>
      <c r="K494" s="89" t="s">
        <v>4073</v>
      </c>
      <c r="L494" s="66" t="s">
        <v>3748</v>
      </c>
      <c r="M494" s="67" t="s">
        <v>4074</v>
      </c>
      <c r="N494" s="65" t="s">
        <v>4075</v>
      </c>
      <c r="O494" s="42" t="s">
        <v>1933</v>
      </c>
      <c r="P494" s="42"/>
      <c r="Q494" s="42"/>
      <c r="R494" s="42"/>
      <c r="S494" s="42"/>
      <c r="T494" s="42" t="s">
        <v>1933</v>
      </c>
      <c r="U494" s="42"/>
      <c r="V494" s="42" t="s">
        <v>1933</v>
      </c>
      <c r="W494" s="42"/>
      <c r="X494" s="42"/>
      <c r="Y494" s="42"/>
      <c r="Z494" s="94" t="s">
        <v>3786</v>
      </c>
    </row>
    <row r="495" spans="1:26" ht="16.95" customHeight="1" x14ac:dyDescent="0.25">
      <c r="A495" s="44" t="s">
        <v>4076</v>
      </c>
      <c r="B495" s="44">
        <v>9</v>
      </c>
      <c r="C495" s="44" t="s">
        <v>2328</v>
      </c>
      <c r="D495" s="44"/>
      <c r="E495" s="44"/>
      <c r="F495" s="45" t="s">
        <v>2251</v>
      </c>
      <c r="G495" s="44" t="s">
        <v>2457</v>
      </c>
      <c r="H495" s="44"/>
      <c r="I495" s="44" t="s">
        <v>2291</v>
      </c>
      <c r="J495" s="44"/>
      <c r="K495" s="86"/>
      <c r="L495" s="69" t="s">
        <v>2292</v>
      </c>
      <c r="M495" s="70" t="s">
        <v>4077</v>
      </c>
      <c r="N495" s="68" t="s">
        <v>4078</v>
      </c>
      <c r="O495" s="44" t="s">
        <v>1933</v>
      </c>
      <c r="P495" s="44"/>
      <c r="Q495" s="44"/>
      <c r="R495" s="44"/>
      <c r="S495" s="44"/>
      <c r="T495" s="44" t="s">
        <v>1933</v>
      </c>
      <c r="U495" s="44" t="s">
        <v>1933</v>
      </c>
      <c r="V495" s="44" t="s">
        <v>1933</v>
      </c>
      <c r="W495" s="44"/>
      <c r="X495" s="44"/>
      <c r="Y495" s="44"/>
      <c r="Z495" s="94" t="s">
        <v>3786</v>
      </c>
    </row>
    <row r="496" spans="1:26" ht="16.95" customHeight="1" x14ac:dyDescent="0.25">
      <c r="A496" s="40" t="s">
        <v>4079</v>
      </c>
      <c r="B496" s="40">
        <v>1</v>
      </c>
      <c r="C496" s="40" t="s">
        <v>2308</v>
      </c>
      <c r="D496" s="40"/>
      <c r="E496" s="40"/>
      <c r="F496" s="41" t="s">
        <v>2343</v>
      </c>
      <c r="G496" s="40" t="s">
        <v>3801</v>
      </c>
      <c r="H496" s="40" t="s">
        <v>2290</v>
      </c>
      <c r="I496" s="40" t="s">
        <v>2291</v>
      </c>
      <c r="J496" s="40"/>
      <c r="K496" s="93"/>
      <c r="L496" s="63" t="s">
        <v>2427</v>
      </c>
      <c r="M496" s="64" t="s">
        <v>4080</v>
      </c>
      <c r="N496" s="62" t="s">
        <v>4081</v>
      </c>
      <c r="O496" s="40" t="s">
        <v>1933</v>
      </c>
      <c r="P496" s="40"/>
      <c r="Q496" s="40"/>
      <c r="R496" s="40"/>
      <c r="S496" s="40"/>
      <c r="T496" s="40"/>
      <c r="U496" s="40" t="s">
        <v>1933</v>
      </c>
      <c r="V496" s="40" t="s">
        <v>1933</v>
      </c>
      <c r="W496" s="40"/>
      <c r="X496" s="40"/>
      <c r="Y496" s="40"/>
      <c r="Z496" s="95" t="s">
        <v>4082</v>
      </c>
    </row>
    <row r="497" spans="1:26" ht="16.95" customHeight="1" x14ac:dyDescent="0.25">
      <c r="A497" s="34" t="s">
        <v>4083</v>
      </c>
      <c r="B497" s="34">
        <v>1</v>
      </c>
      <c r="C497" s="34" t="s">
        <v>2288</v>
      </c>
      <c r="D497" s="34"/>
      <c r="E497" s="34"/>
      <c r="F497" s="35" t="s">
        <v>2251</v>
      </c>
      <c r="G497" s="34" t="s">
        <v>2309</v>
      </c>
      <c r="H497" s="34" t="s">
        <v>2290</v>
      </c>
      <c r="I497" s="34" t="s">
        <v>2291</v>
      </c>
      <c r="J497" s="34"/>
      <c r="K497" s="85" t="s">
        <v>4084</v>
      </c>
      <c r="L497" s="54" t="s">
        <v>2292</v>
      </c>
      <c r="M497" s="55" t="s">
        <v>4085</v>
      </c>
      <c r="N497" s="53" t="s">
        <v>4086</v>
      </c>
      <c r="O497" s="34"/>
      <c r="P497" s="34"/>
      <c r="Q497" s="34"/>
      <c r="R497" s="34"/>
      <c r="S497" s="34"/>
      <c r="T497" s="34"/>
      <c r="U497" s="34"/>
      <c r="V497" s="34" t="s">
        <v>1933</v>
      </c>
      <c r="W497" s="34"/>
      <c r="X497" s="34"/>
      <c r="Y497" s="34"/>
      <c r="Z497" s="95" t="s">
        <v>4082</v>
      </c>
    </row>
    <row r="498" spans="1:26" ht="16.95" customHeight="1" x14ac:dyDescent="0.25">
      <c r="A498" s="44" t="s">
        <v>4087</v>
      </c>
      <c r="B498" s="44">
        <v>2</v>
      </c>
      <c r="C498" s="44" t="s">
        <v>2328</v>
      </c>
      <c r="D498" s="44"/>
      <c r="E498" s="44"/>
      <c r="F498" s="45" t="s">
        <v>4088</v>
      </c>
      <c r="G498" s="44" t="s">
        <v>2298</v>
      </c>
      <c r="H498" s="44" t="s">
        <v>2290</v>
      </c>
      <c r="I498" s="44" t="s">
        <v>2291</v>
      </c>
      <c r="J498" s="44"/>
      <c r="K498" s="86"/>
      <c r="L498" s="69" t="s">
        <v>2292</v>
      </c>
      <c r="M498" s="70" t="s">
        <v>4089</v>
      </c>
      <c r="N498" s="68" t="s">
        <v>4090</v>
      </c>
      <c r="O498" s="44" t="s">
        <v>1933</v>
      </c>
      <c r="P498" s="44"/>
      <c r="Q498" s="44"/>
      <c r="R498" s="44"/>
      <c r="S498" s="44"/>
      <c r="T498" s="44"/>
      <c r="U498" s="44"/>
      <c r="V498" s="44" t="s">
        <v>1933</v>
      </c>
      <c r="W498" s="44"/>
      <c r="X498" s="44"/>
      <c r="Y498" s="44"/>
      <c r="Z498" s="95" t="s">
        <v>4082</v>
      </c>
    </row>
    <row r="499" spans="1:26" ht="16.95" customHeight="1" x14ac:dyDescent="0.25">
      <c r="A499" s="44" t="s">
        <v>4091</v>
      </c>
      <c r="B499" s="44">
        <v>2</v>
      </c>
      <c r="C499" s="44" t="s">
        <v>2328</v>
      </c>
      <c r="D499" s="44"/>
      <c r="E499" s="44"/>
      <c r="F499" s="45" t="s">
        <v>2251</v>
      </c>
      <c r="G499" s="44" t="s">
        <v>2289</v>
      </c>
      <c r="H499" s="44"/>
      <c r="I499" s="44" t="s">
        <v>2291</v>
      </c>
      <c r="J499" s="44" t="s">
        <v>2310</v>
      </c>
      <c r="K499" s="86" t="s">
        <v>4092</v>
      </c>
      <c r="L499" s="69" t="s">
        <v>2343</v>
      </c>
      <c r="M499" s="70" t="s">
        <v>4093</v>
      </c>
      <c r="N499" s="68" t="s">
        <v>4094</v>
      </c>
      <c r="O499" s="44"/>
      <c r="P499" s="44"/>
      <c r="Q499" s="44"/>
      <c r="R499" s="44"/>
      <c r="S499" s="44"/>
      <c r="T499" s="44"/>
      <c r="U499" s="44"/>
      <c r="V499" s="44" t="s">
        <v>1933</v>
      </c>
      <c r="W499" s="44"/>
      <c r="X499" s="44"/>
      <c r="Y499" s="44"/>
      <c r="Z499" s="95" t="s">
        <v>4082</v>
      </c>
    </row>
    <row r="500" spans="1:26" ht="16.95" customHeight="1" x14ac:dyDescent="0.25">
      <c r="A500" s="44" t="s">
        <v>4095</v>
      </c>
      <c r="B500" s="44">
        <v>3</v>
      </c>
      <c r="C500" s="44" t="s">
        <v>2328</v>
      </c>
      <c r="D500" s="44"/>
      <c r="E500" s="44" t="s">
        <v>1933</v>
      </c>
      <c r="F500" s="45" t="s">
        <v>2251</v>
      </c>
      <c r="G500" s="44" t="s">
        <v>2018</v>
      </c>
      <c r="H500" s="44" t="s">
        <v>2290</v>
      </c>
      <c r="I500" s="44"/>
      <c r="J500" s="44"/>
      <c r="K500" s="86"/>
      <c r="L500" s="69" t="s">
        <v>3748</v>
      </c>
      <c r="M500" s="70" t="s">
        <v>4096</v>
      </c>
      <c r="N500" s="68" t="s">
        <v>4097</v>
      </c>
      <c r="O500" s="44" t="s">
        <v>1933</v>
      </c>
      <c r="P500" s="44" t="s">
        <v>1933</v>
      </c>
      <c r="Q500" s="44"/>
      <c r="R500" s="44"/>
      <c r="S500" s="44"/>
      <c r="T500" s="44"/>
      <c r="U500" s="44"/>
      <c r="V500" s="44" t="s">
        <v>1933</v>
      </c>
      <c r="W500" s="44"/>
      <c r="X500" s="44"/>
      <c r="Y500" s="44"/>
      <c r="Z500" s="95" t="s">
        <v>4082</v>
      </c>
    </row>
    <row r="501" spans="1:26" ht="16.95" customHeight="1" x14ac:dyDescent="0.25">
      <c r="A501" s="44" t="s">
        <v>4098</v>
      </c>
      <c r="B501" s="44">
        <v>3</v>
      </c>
      <c r="C501" s="44" t="s">
        <v>2328</v>
      </c>
      <c r="D501" s="44"/>
      <c r="E501" s="44" t="s">
        <v>1933</v>
      </c>
      <c r="F501" s="45" t="s">
        <v>2251</v>
      </c>
      <c r="G501" s="44" t="s">
        <v>2018</v>
      </c>
      <c r="H501" s="44" t="s">
        <v>2290</v>
      </c>
      <c r="I501" s="44" t="s">
        <v>2291</v>
      </c>
      <c r="J501" s="44" t="s">
        <v>2310</v>
      </c>
      <c r="K501" s="86" t="s">
        <v>4099</v>
      </c>
      <c r="L501" s="69" t="s">
        <v>3740</v>
      </c>
      <c r="M501" s="70" t="s">
        <v>4100</v>
      </c>
      <c r="N501" s="68" t="s">
        <v>4101</v>
      </c>
      <c r="O501" s="44"/>
      <c r="P501" s="44" t="s">
        <v>1933</v>
      </c>
      <c r="Q501" s="44"/>
      <c r="R501" s="44"/>
      <c r="S501" s="44"/>
      <c r="T501" s="44" t="s">
        <v>1933</v>
      </c>
      <c r="U501" s="44" t="s">
        <v>1933</v>
      </c>
      <c r="V501" s="44" t="s">
        <v>1933</v>
      </c>
      <c r="W501" s="44"/>
      <c r="X501" s="44"/>
      <c r="Y501" s="44"/>
      <c r="Z501" s="95" t="s">
        <v>4082</v>
      </c>
    </row>
    <row r="502" spans="1:26" ht="16.95" customHeight="1" x14ac:dyDescent="0.25">
      <c r="A502" s="44" t="s">
        <v>4102</v>
      </c>
      <c r="B502" s="44">
        <v>3</v>
      </c>
      <c r="C502" s="44" t="s">
        <v>2328</v>
      </c>
      <c r="D502" s="44"/>
      <c r="E502" s="44"/>
      <c r="F502" s="45" t="s">
        <v>2343</v>
      </c>
      <c r="G502" s="44" t="s">
        <v>2289</v>
      </c>
      <c r="H502" s="44" t="s">
        <v>2290</v>
      </c>
      <c r="I502" s="44"/>
      <c r="J502" s="44"/>
      <c r="K502" s="86"/>
      <c r="L502" s="69" t="s">
        <v>2338</v>
      </c>
      <c r="M502" s="70" t="s">
        <v>4103</v>
      </c>
      <c r="N502" s="68" t="s">
        <v>4104</v>
      </c>
      <c r="O502" s="44" t="s">
        <v>1933</v>
      </c>
      <c r="P502" s="44" t="s">
        <v>1933</v>
      </c>
      <c r="Q502" s="44"/>
      <c r="R502" s="44"/>
      <c r="S502" s="44"/>
      <c r="T502" s="44"/>
      <c r="U502" s="44"/>
      <c r="V502" s="44"/>
      <c r="W502" s="44"/>
      <c r="X502" s="44"/>
      <c r="Y502" s="44"/>
      <c r="Z502" s="95" t="s">
        <v>4082</v>
      </c>
    </row>
    <row r="503" spans="1:26" ht="16.95" customHeight="1" x14ac:dyDescent="0.25">
      <c r="A503" s="40" t="s">
        <v>4105</v>
      </c>
      <c r="B503" s="40">
        <v>2</v>
      </c>
      <c r="C503" s="40" t="s">
        <v>2308</v>
      </c>
      <c r="D503" s="40"/>
      <c r="E503" s="40" t="s">
        <v>1933</v>
      </c>
      <c r="F503" s="41" t="s">
        <v>2251</v>
      </c>
      <c r="G503" s="40" t="s">
        <v>2289</v>
      </c>
      <c r="H503" s="40" t="s">
        <v>2290</v>
      </c>
      <c r="I503" s="40" t="s">
        <v>2291</v>
      </c>
      <c r="J503" s="40" t="s">
        <v>2310</v>
      </c>
      <c r="K503" s="93" t="s">
        <v>4106</v>
      </c>
      <c r="L503" s="63" t="s">
        <v>3740</v>
      </c>
      <c r="M503" s="64" t="s">
        <v>4107</v>
      </c>
      <c r="N503" s="62" t="s">
        <v>4108</v>
      </c>
      <c r="O503" s="40" t="s">
        <v>1933</v>
      </c>
      <c r="P503" s="40"/>
      <c r="Q503" s="40"/>
      <c r="R503" s="40"/>
      <c r="S503" s="40"/>
      <c r="T503" s="40" t="s">
        <v>1933</v>
      </c>
      <c r="U503" s="40"/>
      <c r="V503" s="40" t="s">
        <v>1933</v>
      </c>
      <c r="W503" s="40"/>
      <c r="X503" s="40"/>
      <c r="Y503" s="40"/>
      <c r="Z503" s="95" t="s">
        <v>4109</v>
      </c>
    </row>
    <row r="504" spans="1:26" ht="16.95" customHeight="1" x14ac:dyDescent="0.25">
      <c r="A504" s="34" t="s">
        <v>4110</v>
      </c>
      <c r="B504" s="34">
        <v>2</v>
      </c>
      <c r="C504" s="34" t="s">
        <v>2288</v>
      </c>
      <c r="D504" s="34"/>
      <c r="E504" s="34"/>
      <c r="F504" s="35" t="s">
        <v>2251</v>
      </c>
      <c r="G504" s="34" t="s">
        <v>4111</v>
      </c>
      <c r="H504" s="34"/>
      <c r="I504" s="34" t="s">
        <v>2291</v>
      </c>
      <c r="J504" s="34" t="s">
        <v>2310</v>
      </c>
      <c r="K504" s="85" t="s">
        <v>4112</v>
      </c>
      <c r="L504" s="54" t="s">
        <v>2292</v>
      </c>
      <c r="M504" s="55" t="s">
        <v>4113</v>
      </c>
      <c r="N504" s="53" t="s">
        <v>4114</v>
      </c>
      <c r="O504" s="34"/>
      <c r="P504" s="34"/>
      <c r="Q504" s="34"/>
      <c r="R504" s="34"/>
      <c r="S504" s="34"/>
      <c r="T504" s="34" t="s">
        <v>1933</v>
      </c>
      <c r="U504" s="34"/>
      <c r="V504" s="34" t="s">
        <v>1933</v>
      </c>
      <c r="W504" s="34"/>
      <c r="X504" s="34"/>
      <c r="Y504" s="34"/>
      <c r="Z504" s="95" t="s">
        <v>4109</v>
      </c>
    </row>
    <row r="505" spans="1:26" ht="16.95" customHeight="1" x14ac:dyDescent="0.25">
      <c r="A505" s="42" t="s">
        <v>4115</v>
      </c>
      <c r="B505" s="42">
        <v>3</v>
      </c>
      <c r="C505" s="42" t="s">
        <v>2315</v>
      </c>
      <c r="D505" s="42"/>
      <c r="E505" s="42" t="s">
        <v>1933</v>
      </c>
      <c r="F505" s="43" t="s">
        <v>2370</v>
      </c>
      <c r="G505" s="42" t="s">
        <v>2298</v>
      </c>
      <c r="H505" s="42" t="s">
        <v>2290</v>
      </c>
      <c r="I505" s="42" t="s">
        <v>2291</v>
      </c>
      <c r="J505" s="42"/>
      <c r="K505" s="89"/>
      <c r="L505" s="66" t="s">
        <v>3740</v>
      </c>
      <c r="M505" s="67" t="s">
        <v>4116</v>
      </c>
      <c r="N505" s="65" t="s">
        <v>4117</v>
      </c>
      <c r="O505" s="42"/>
      <c r="P505" s="42"/>
      <c r="Q505" s="42"/>
      <c r="R505" s="42"/>
      <c r="S505" s="42" t="s">
        <v>1933</v>
      </c>
      <c r="T505" s="42" t="s">
        <v>1933</v>
      </c>
      <c r="U505" s="42"/>
      <c r="V505" s="42" t="s">
        <v>1933</v>
      </c>
      <c r="W505" s="42" t="s">
        <v>1933</v>
      </c>
      <c r="X505" s="42"/>
      <c r="Y505" s="42"/>
      <c r="Z505" s="95" t="s">
        <v>4109</v>
      </c>
    </row>
    <row r="506" spans="1:26" ht="16.95" customHeight="1" x14ac:dyDescent="0.25">
      <c r="A506" s="44" t="s">
        <v>4118</v>
      </c>
      <c r="B506" s="44">
        <v>4</v>
      </c>
      <c r="C506" s="44" t="s">
        <v>2328</v>
      </c>
      <c r="D506" s="44"/>
      <c r="E506" s="44"/>
      <c r="F506" s="45" t="s">
        <v>2251</v>
      </c>
      <c r="G506" s="44" t="s">
        <v>2309</v>
      </c>
      <c r="H506" s="44" t="s">
        <v>2290</v>
      </c>
      <c r="I506" s="44"/>
      <c r="J506" s="44"/>
      <c r="K506" s="86"/>
      <c r="L506" s="69" t="s">
        <v>2292</v>
      </c>
      <c r="M506" s="70" t="s">
        <v>4119</v>
      </c>
      <c r="N506" s="68" t="s">
        <v>4120</v>
      </c>
      <c r="O506" s="44" t="s">
        <v>1933</v>
      </c>
      <c r="P506" s="44"/>
      <c r="Q506" s="44"/>
      <c r="R506" s="44"/>
      <c r="S506" s="44"/>
      <c r="T506" s="44" t="s">
        <v>1933</v>
      </c>
      <c r="U506" s="44" t="s">
        <v>1933</v>
      </c>
      <c r="V506" s="44" t="s">
        <v>1933</v>
      </c>
      <c r="W506" s="44"/>
      <c r="X506" s="44"/>
      <c r="Y506" s="44"/>
      <c r="Z506" s="95" t="s">
        <v>4109</v>
      </c>
    </row>
    <row r="507" spans="1:26" ht="16.95" customHeight="1" x14ac:dyDescent="0.25">
      <c r="A507" s="48" t="s">
        <v>4121</v>
      </c>
      <c r="B507" s="48">
        <v>5</v>
      </c>
      <c r="C507" s="48" t="s">
        <v>2342</v>
      </c>
      <c r="D507" s="48"/>
      <c r="E507" s="48" t="s">
        <v>1933</v>
      </c>
      <c r="F507" s="49" t="s">
        <v>2251</v>
      </c>
      <c r="G507" s="48" t="s">
        <v>2289</v>
      </c>
      <c r="H507" s="48" t="s">
        <v>2290</v>
      </c>
      <c r="I507" s="48" t="s">
        <v>2291</v>
      </c>
      <c r="J507" s="48" t="s">
        <v>2310</v>
      </c>
      <c r="K507" s="90" t="s">
        <v>4122</v>
      </c>
      <c r="L507" s="75" t="s">
        <v>3748</v>
      </c>
      <c r="M507" s="76" t="s">
        <v>4123</v>
      </c>
      <c r="N507" s="74" t="s">
        <v>4124</v>
      </c>
      <c r="O507" s="48"/>
      <c r="P507" s="48"/>
      <c r="Q507" s="48" t="s">
        <v>1933</v>
      </c>
      <c r="R507" s="48"/>
      <c r="S507" s="48"/>
      <c r="T507" s="48" t="s">
        <v>1933</v>
      </c>
      <c r="U507" s="48"/>
      <c r="V507" s="48" t="s">
        <v>1933</v>
      </c>
      <c r="W507" s="48"/>
      <c r="X507" s="48"/>
      <c r="Y507" s="48"/>
      <c r="Z507" s="95" t="s">
        <v>4109</v>
      </c>
    </row>
    <row r="508" spans="1:26" ht="16.95" customHeight="1" x14ac:dyDescent="0.25">
      <c r="A508" s="36" t="s">
        <v>4125</v>
      </c>
      <c r="B508" s="36">
        <v>6</v>
      </c>
      <c r="C508" s="36" t="s">
        <v>2297</v>
      </c>
      <c r="D508" s="36"/>
      <c r="E508" s="36" t="s">
        <v>1933</v>
      </c>
      <c r="F508" s="37" t="s">
        <v>2370</v>
      </c>
      <c r="G508" s="36" t="s">
        <v>2289</v>
      </c>
      <c r="H508" s="36" t="s">
        <v>2290</v>
      </c>
      <c r="I508" s="36" t="s">
        <v>2291</v>
      </c>
      <c r="J508" s="36" t="s">
        <v>2310</v>
      </c>
      <c r="K508" s="87" t="s">
        <v>4126</v>
      </c>
      <c r="L508" s="57" t="s">
        <v>3740</v>
      </c>
      <c r="M508" s="58" t="s">
        <v>4127</v>
      </c>
      <c r="N508" s="56" t="s">
        <v>4128</v>
      </c>
      <c r="O508" s="36"/>
      <c r="P508" s="36"/>
      <c r="Q508" s="36"/>
      <c r="R508" s="36"/>
      <c r="S508" s="36"/>
      <c r="T508" s="36" t="s">
        <v>1933</v>
      </c>
      <c r="U508" s="36"/>
      <c r="V508" s="36" t="s">
        <v>1933</v>
      </c>
      <c r="W508" s="36"/>
      <c r="X508" s="36"/>
      <c r="Y508" s="36"/>
      <c r="Z508" s="95" t="s">
        <v>4109</v>
      </c>
    </row>
    <row r="509" spans="1:26" ht="16.95" customHeight="1" x14ac:dyDescent="0.25">
      <c r="A509" s="42" t="s">
        <v>4129</v>
      </c>
      <c r="B509" s="42">
        <v>7</v>
      </c>
      <c r="C509" s="42" t="s">
        <v>2315</v>
      </c>
      <c r="D509" s="42"/>
      <c r="E509" s="42" t="s">
        <v>1933</v>
      </c>
      <c r="F509" s="43" t="s">
        <v>2370</v>
      </c>
      <c r="G509" s="42" t="s">
        <v>2298</v>
      </c>
      <c r="H509" s="42" t="s">
        <v>2290</v>
      </c>
      <c r="I509" s="42" t="s">
        <v>2291</v>
      </c>
      <c r="J509" s="42" t="s">
        <v>2310</v>
      </c>
      <c r="K509" s="89" t="s">
        <v>4130</v>
      </c>
      <c r="L509" s="66" t="s">
        <v>3740</v>
      </c>
      <c r="M509" s="67" t="s">
        <v>4131</v>
      </c>
      <c r="N509" s="65" t="s">
        <v>4132</v>
      </c>
      <c r="O509" s="42"/>
      <c r="P509" s="42"/>
      <c r="Q509" s="42" t="s">
        <v>1933</v>
      </c>
      <c r="R509" s="42"/>
      <c r="S509" s="42"/>
      <c r="T509" s="42" t="s">
        <v>1933</v>
      </c>
      <c r="U509" s="42"/>
      <c r="V509" s="42" t="s">
        <v>1933</v>
      </c>
      <c r="W509" s="42"/>
      <c r="X509" s="42"/>
      <c r="Y509" s="42"/>
      <c r="Z509" s="95" t="s">
        <v>4109</v>
      </c>
    </row>
    <row r="510" spans="1:26" ht="16.95" customHeight="1" x14ac:dyDescent="0.25">
      <c r="A510" s="48" t="s">
        <v>4133</v>
      </c>
      <c r="B510" s="48">
        <v>2</v>
      </c>
      <c r="C510" s="48" t="s">
        <v>2342</v>
      </c>
      <c r="D510" s="48"/>
      <c r="E510" s="48" t="s">
        <v>1933</v>
      </c>
      <c r="F510" s="49" t="s">
        <v>2343</v>
      </c>
      <c r="G510" s="48" t="s">
        <v>3801</v>
      </c>
      <c r="H510" s="48" t="s">
        <v>2290</v>
      </c>
      <c r="I510" s="48" t="s">
        <v>2291</v>
      </c>
      <c r="J510" s="48"/>
      <c r="K510" s="90"/>
      <c r="L510" s="75" t="s">
        <v>3748</v>
      </c>
      <c r="M510" s="76" t="s">
        <v>4134</v>
      </c>
      <c r="N510" s="74" t="s">
        <v>4135</v>
      </c>
      <c r="O510" s="48"/>
      <c r="P510" s="48"/>
      <c r="Q510" s="48"/>
      <c r="R510" s="48"/>
      <c r="S510" s="48"/>
      <c r="T510" s="48"/>
      <c r="U510" s="48" t="s">
        <v>1933</v>
      </c>
      <c r="V510" s="48" t="s">
        <v>1933</v>
      </c>
      <c r="W510" s="48"/>
      <c r="X510" s="48"/>
      <c r="Y510" s="48"/>
      <c r="Z510" s="95" t="s">
        <v>4136</v>
      </c>
    </row>
    <row r="511" spans="1:26" ht="16.95" customHeight="1" x14ac:dyDescent="0.25">
      <c r="A511" s="48" t="s">
        <v>4137</v>
      </c>
      <c r="B511" s="48">
        <v>3</v>
      </c>
      <c r="C511" s="48" t="s">
        <v>2342</v>
      </c>
      <c r="D511" s="48"/>
      <c r="E511" s="48"/>
      <c r="F511" s="49" t="s">
        <v>2371</v>
      </c>
      <c r="G511" s="48" t="s">
        <v>2018</v>
      </c>
      <c r="H511" s="48" t="s">
        <v>2290</v>
      </c>
      <c r="I511" s="48" t="s">
        <v>2291</v>
      </c>
      <c r="J511" s="48" t="s">
        <v>2310</v>
      </c>
      <c r="K511" s="90" t="s">
        <v>4138</v>
      </c>
      <c r="L511" s="75" t="s">
        <v>2432</v>
      </c>
      <c r="M511" s="76" t="s">
        <v>4139</v>
      </c>
      <c r="N511" s="74" t="s">
        <v>4140</v>
      </c>
      <c r="O511" s="48"/>
      <c r="P511" s="48"/>
      <c r="Q511" s="48"/>
      <c r="R511" s="48"/>
      <c r="S511" s="48"/>
      <c r="T511" s="48"/>
      <c r="U511" s="48"/>
      <c r="V511" s="48" t="s">
        <v>1933</v>
      </c>
      <c r="W511" s="48"/>
      <c r="X511" s="48"/>
      <c r="Y511" s="48"/>
      <c r="Z511" s="95" t="s">
        <v>4136</v>
      </c>
    </row>
    <row r="512" spans="1:26" ht="16.95" customHeight="1" x14ac:dyDescent="0.25">
      <c r="A512" s="48" t="s">
        <v>4141</v>
      </c>
      <c r="B512" s="48">
        <v>4</v>
      </c>
      <c r="C512" s="48" t="s">
        <v>2342</v>
      </c>
      <c r="D512" s="48"/>
      <c r="E512" s="48"/>
      <c r="F512" s="49" t="s">
        <v>2251</v>
      </c>
      <c r="G512" s="48" t="s">
        <v>2329</v>
      </c>
      <c r="H512" s="48" t="s">
        <v>2290</v>
      </c>
      <c r="I512" s="48" t="s">
        <v>2291</v>
      </c>
      <c r="J512" s="48" t="s">
        <v>2310</v>
      </c>
      <c r="K512" s="90" t="s">
        <v>4142</v>
      </c>
      <c r="L512" s="75" t="s">
        <v>2371</v>
      </c>
      <c r="M512" s="76" t="s">
        <v>4143</v>
      </c>
      <c r="N512" s="74" t="s">
        <v>4144</v>
      </c>
      <c r="O512" s="48"/>
      <c r="P512" s="48"/>
      <c r="Q512" s="48"/>
      <c r="R512" s="48"/>
      <c r="S512" s="48"/>
      <c r="T512" s="48"/>
      <c r="U512" s="48" t="s">
        <v>1933</v>
      </c>
      <c r="V512" s="48" t="s">
        <v>1933</v>
      </c>
      <c r="W512" s="48"/>
      <c r="X512" s="48"/>
      <c r="Y512" s="48"/>
      <c r="Z512" s="95" t="s">
        <v>4136</v>
      </c>
    </row>
    <row r="513" spans="1:26" ht="16.95" customHeight="1" x14ac:dyDescent="0.25">
      <c r="A513" s="44" t="s">
        <v>4145</v>
      </c>
      <c r="B513" s="44">
        <v>0</v>
      </c>
      <c r="C513" s="44" t="s">
        <v>2328</v>
      </c>
      <c r="D513" s="44"/>
      <c r="E513" s="44"/>
      <c r="F513" s="45" t="s">
        <v>2251</v>
      </c>
      <c r="G513" s="44" t="s">
        <v>2298</v>
      </c>
      <c r="H513" s="44"/>
      <c r="I513" s="44" t="s">
        <v>2291</v>
      </c>
      <c r="J513" s="44"/>
      <c r="K513" s="86"/>
      <c r="L513" s="69" t="s">
        <v>2427</v>
      </c>
      <c r="M513" s="70" t="s">
        <v>4146</v>
      </c>
      <c r="N513" s="68" t="s">
        <v>4147</v>
      </c>
      <c r="O513" s="44"/>
      <c r="P513" s="44"/>
      <c r="Q513" s="44"/>
      <c r="R513" s="44"/>
      <c r="S513" s="44"/>
      <c r="T513" s="44"/>
      <c r="U513" s="44"/>
      <c r="V513" s="44"/>
      <c r="W513" s="44"/>
      <c r="X513" s="44"/>
      <c r="Y513" s="44"/>
      <c r="Z513" s="94" t="s">
        <v>4148</v>
      </c>
    </row>
    <row r="514" spans="1:26" ht="16.95" customHeight="1" x14ac:dyDescent="0.25">
      <c r="A514" s="44" t="s">
        <v>4149</v>
      </c>
      <c r="B514" s="44">
        <v>1</v>
      </c>
      <c r="C514" s="44" t="s">
        <v>2328</v>
      </c>
      <c r="D514" s="44"/>
      <c r="E514" s="44"/>
      <c r="F514" s="45" t="s">
        <v>4150</v>
      </c>
      <c r="G514" s="44" t="s">
        <v>2289</v>
      </c>
      <c r="H514" s="44" t="s">
        <v>2290</v>
      </c>
      <c r="I514" s="44"/>
      <c r="J514" s="44"/>
      <c r="K514" s="86"/>
      <c r="L514" s="69" t="s">
        <v>2292</v>
      </c>
      <c r="M514" s="70" t="s">
        <v>4151</v>
      </c>
      <c r="N514" s="68" t="s">
        <v>4152</v>
      </c>
      <c r="O514" s="44" t="s">
        <v>1933</v>
      </c>
      <c r="P514" s="44"/>
      <c r="Q514" s="44"/>
      <c r="R514" s="44"/>
      <c r="S514" s="44"/>
      <c r="T514" s="44" t="s">
        <v>1933</v>
      </c>
      <c r="U514" s="44"/>
      <c r="V514" s="44" t="s">
        <v>1933</v>
      </c>
      <c r="W514" s="44"/>
      <c r="X514" s="44"/>
      <c r="Y514" s="44"/>
      <c r="Z514" s="95" t="s">
        <v>4153</v>
      </c>
    </row>
    <row r="515" spans="1:26" ht="16.95" customHeight="1" x14ac:dyDescent="0.25">
      <c r="A515" s="46" t="s">
        <v>4154</v>
      </c>
      <c r="B515" s="46">
        <v>2</v>
      </c>
      <c r="C515" s="46" t="s">
        <v>2334</v>
      </c>
      <c r="D515" s="46"/>
      <c r="E515" s="46"/>
      <c r="F515" s="47" t="s">
        <v>2251</v>
      </c>
      <c r="G515" s="46" t="s">
        <v>2298</v>
      </c>
      <c r="H515" s="46" t="s">
        <v>2290</v>
      </c>
      <c r="I515" s="46" t="s">
        <v>2291</v>
      </c>
      <c r="J515" s="46" t="s">
        <v>2310</v>
      </c>
      <c r="K515" s="92" t="s">
        <v>4155</v>
      </c>
      <c r="L515" s="72" t="s">
        <v>2338</v>
      </c>
      <c r="M515" s="73" t="s">
        <v>4156</v>
      </c>
      <c r="N515" s="71" t="s">
        <v>4157</v>
      </c>
      <c r="O515" s="46" t="s">
        <v>1933</v>
      </c>
      <c r="P515" s="46" t="s">
        <v>1933</v>
      </c>
      <c r="Q515" s="46"/>
      <c r="R515" s="46"/>
      <c r="S515" s="46"/>
      <c r="T515" s="46"/>
      <c r="U515" s="46" t="s">
        <v>1933</v>
      </c>
      <c r="V515" s="46" t="s">
        <v>1933</v>
      </c>
      <c r="W515" s="46"/>
      <c r="X515" s="46"/>
      <c r="Y515" s="46"/>
      <c r="Z515" s="95" t="s">
        <v>4153</v>
      </c>
    </row>
    <row r="516" spans="1:26" ht="16.95" customHeight="1" x14ac:dyDescent="0.25">
      <c r="A516" s="42" t="s">
        <v>4158</v>
      </c>
      <c r="B516" s="42">
        <v>2</v>
      </c>
      <c r="C516" s="42" t="s">
        <v>2315</v>
      </c>
      <c r="D516" s="42"/>
      <c r="E516" s="42" t="s">
        <v>1933</v>
      </c>
      <c r="F516" s="43" t="s">
        <v>2370</v>
      </c>
      <c r="G516" s="42" t="s">
        <v>2298</v>
      </c>
      <c r="H516" s="42"/>
      <c r="I516" s="42" t="s">
        <v>2291</v>
      </c>
      <c r="J516" s="42"/>
      <c r="K516" s="89"/>
      <c r="L516" s="66" t="s">
        <v>3740</v>
      </c>
      <c r="M516" s="67" t="s">
        <v>4159</v>
      </c>
      <c r="N516" s="65" t="s">
        <v>4160</v>
      </c>
      <c r="O516" s="42" t="s">
        <v>1933</v>
      </c>
      <c r="P516" s="42"/>
      <c r="Q516" s="42"/>
      <c r="R516" s="42"/>
      <c r="S516" s="42"/>
      <c r="T516" s="42" t="s">
        <v>1933</v>
      </c>
      <c r="U516" s="42"/>
      <c r="V516" s="42" t="s">
        <v>1933</v>
      </c>
      <c r="W516" s="42" t="s">
        <v>1933</v>
      </c>
      <c r="X516" s="42"/>
      <c r="Y516" s="42"/>
      <c r="Z516" s="95" t="s">
        <v>4153</v>
      </c>
    </row>
    <row r="517" spans="1:26" ht="16.95" customHeight="1" x14ac:dyDescent="0.25">
      <c r="A517" s="48" t="s">
        <v>4161</v>
      </c>
      <c r="B517" s="48">
        <v>2</v>
      </c>
      <c r="C517" s="48" t="s">
        <v>2342</v>
      </c>
      <c r="D517" s="48"/>
      <c r="E517" s="48"/>
      <c r="F517" s="49" t="s">
        <v>2251</v>
      </c>
      <c r="G517" s="48" t="s">
        <v>2457</v>
      </c>
      <c r="H517" s="48" t="s">
        <v>2290</v>
      </c>
      <c r="I517" s="48" t="s">
        <v>2291</v>
      </c>
      <c r="J517" s="48"/>
      <c r="K517" s="90"/>
      <c r="L517" s="75" t="s">
        <v>2292</v>
      </c>
      <c r="M517" s="76" t="s">
        <v>4725</v>
      </c>
      <c r="N517" s="74" t="s">
        <v>4162</v>
      </c>
      <c r="O517" s="48"/>
      <c r="P517" s="48"/>
      <c r="Q517" s="48"/>
      <c r="R517" s="48"/>
      <c r="S517" s="48"/>
      <c r="T517" s="48" t="s">
        <v>1933</v>
      </c>
      <c r="U517" s="48"/>
      <c r="V517" s="48" t="s">
        <v>1933</v>
      </c>
      <c r="W517" s="48" t="s">
        <v>1933</v>
      </c>
      <c r="X517" s="48"/>
      <c r="Y517" s="48"/>
      <c r="Z517" s="95" t="s">
        <v>4153</v>
      </c>
    </row>
    <row r="518" spans="1:26" ht="16.95" customHeight="1" x14ac:dyDescent="0.25">
      <c r="A518" s="38" t="s">
        <v>4163</v>
      </c>
      <c r="B518" s="38">
        <v>2</v>
      </c>
      <c r="C518" s="38" t="s">
        <v>2303</v>
      </c>
      <c r="D518" s="38"/>
      <c r="E518" s="38"/>
      <c r="F518" s="39" t="s">
        <v>2251</v>
      </c>
      <c r="G518" s="38" t="s">
        <v>2289</v>
      </c>
      <c r="H518" s="38" t="s">
        <v>2290</v>
      </c>
      <c r="I518" s="38" t="s">
        <v>2291</v>
      </c>
      <c r="J518" s="38" t="s">
        <v>2310</v>
      </c>
      <c r="K518" s="88" t="s">
        <v>4164</v>
      </c>
      <c r="L518" s="60" t="s">
        <v>2292</v>
      </c>
      <c r="M518" s="61" t="s">
        <v>4165</v>
      </c>
      <c r="N518" s="59" t="s">
        <v>4166</v>
      </c>
      <c r="O518" s="38"/>
      <c r="P518" s="38"/>
      <c r="Q518" s="38" t="s">
        <v>1933</v>
      </c>
      <c r="R518" s="38"/>
      <c r="S518" s="38"/>
      <c r="T518" s="38" t="s">
        <v>1933</v>
      </c>
      <c r="U518" s="38"/>
      <c r="V518" s="38" t="s">
        <v>1933</v>
      </c>
      <c r="W518" s="38"/>
      <c r="X518" s="38"/>
      <c r="Y518" s="38"/>
      <c r="Z518" s="95" t="s">
        <v>4153</v>
      </c>
    </row>
    <row r="519" spans="1:26" ht="16.95" customHeight="1" x14ac:dyDescent="0.25">
      <c r="A519" s="48" t="s">
        <v>4167</v>
      </c>
      <c r="B519" s="48">
        <v>2</v>
      </c>
      <c r="C519" s="48" t="s">
        <v>2342</v>
      </c>
      <c r="D519" s="48"/>
      <c r="E519" s="48"/>
      <c r="F519" s="49" t="s">
        <v>2251</v>
      </c>
      <c r="G519" s="48" t="s">
        <v>4168</v>
      </c>
      <c r="H519" s="48" t="s">
        <v>2290</v>
      </c>
      <c r="I519" s="48" t="s">
        <v>2291</v>
      </c>
      <c r="J519" s="48" t="s">
        <v>2310</v>
      </c>
      <c r="K519" s="90" t="s">
        <v>4169</v>
      </c>
      <c r="L519" s="75" t="s">
        <v>2292</v>
      </c>
      <c r="M519" s="76" t="s">
        <v>4170</v>
      </c>
      <c r="N519" s="74" t="s">
        <v>4171</v>
      </c>
      <c r="O519" s="48" t="s">
        <v>1933</v>
      </c>
      <c r="P519" s="48"/>
      <c r="Q519" s="48"/>
      <c r="R519" s="48"/>
      <c r="S519" s="48"/>
      <c r="T519" s="48" t="s">
        <v>1933</v>
      </c>
      <c r="U519" s="48" t="s">
        <v>1933</v>
      </c>
      <c r="V519" s="48" t="s">
        <v>1933</v>
      </c>
      <c r="W519" s="48"/>
      <c r="X519" s="48"/>
      <c r="Y519" s="48"/>
      <c r="Z519" s="94" t="s">
        <v>4172</v>
      </c>
    </row>
    <row r="520" spans="1:26" ht="16.95" customHeight="1" x14ac:dyDescent="0.25">
      <c r="A520" s="44" t="s">
        <v>4173</v>
      </c>
      <c r="B520" s="44">
        <v>3</v>
      </c>
      <c r="C520" s="44" t="s">
        <v>2328</v>
      </c>
      <c r="D520" s="44"/>
      <c r="E520" s="44"/>
      <c r="F520" s="45" t="s">
        <v>2251</v>
      </c>
      <c r="G520" s="44" t="s">
        <v>2018</v>
      </c>
      <c r="H520" s="44" t="s">
        <v>2290</v>
      </c>
      <c r="I520" s="44" t="s">
        <v>2291</v>
      </c>
      <c r="J520" s="44" t="s">
        <v>2310</v>
      </c>
      <c r="K520" s="86" t="s">
        <v>4174</v>
      </c>
      <c r="L520" s="69" t="s">
        <v>2292</v>
      </c>
      <c r="M520" s="70" t="s">
        <v>4175</v>
      </c>
      <c r="N520" s="68" t="s">
        <v>4176</v>
      </c>
      <c r="O520" s="44" t="s">
        <v>1933</v>
      </c>
      <c r="P520" s="44"/>
      <c r="Q520" s="44"/>
      <c r="R520" s="44"/>
      <c r="S520" s="44"/>
      <c r="T520" s="44" t="s">
        <v>1933</v>
      </c>
      <c r="U520" s="44" t="s">
        <v>1933</v>
      </c>
      <c r="V520" s="44" t="s">
        <v>1933</v>
      </c>
      <c r="W520" s="44"/>
      <c r="X520" s="44"/>
      <c r="Y520" s="44"/>
      <c r="Z520" s="95" t="s">
        <v>4172</v>
      </c>
    </row>
    <row r="521" spans="1:26" ht="16.95" customHeight="1" x14ac:dyDescent="0.25">
      <c r="A521" s="38" t="s">
        <v>4177</v>
      </c>
      <c r="B521" s="38">
        <v>4</v>
      </c>
      <c r="C521" s="38" t="s">
        <v>2303</v>
      </c>
      <c r="D521" s="38"/>
      <c r="E521" s="38" t="s">
        <v>1933</v>
      </c>
      <c r="F521" s="39" t="s">
        <v>2251</v>
      </c>
      <c r="G521" s="38" t="s">
        <v>2289</v>
      </c>
      <c r="H521" s="38" t="s">
        <v>2290</v>
      </c>
      <c r="I521" s="38" t="s">
        <v>2291</v>
      </c>
      <c r="J521" s="38" t="s">
        <v>2310</v>
      </c>
      <c r="K521" s="88" t="s">
        <v>4178</v>
      </c>
      <c r="L521" s="60" t="s">
        <v>2534</v>
      </c>
      <c r="M521" s="61" t="s">
        <v>4179</v>
      </c>
      <c r="N521" s="59" t="s">
        <v>4180</v>
      </c>
      <c r="O521" s="38"/>
      <c r="P521" s="38"/>
      <c r="Q521" s="38"/>
      <c r="R521" s="38"/>
      <c r="S521" s="38"/>
      <c r="T521" s="38" t="s">
        <v>1933</v>
      </c>
      <c r="U521" s="38" t="s">
        <v>1933</v>
      </c>
      <c r="V521" s="38" t="s">
        <v>1933</v>
      </c>
      <c r="W521" s="38"/>
      <c r="X521" s="38"/>
      <c r="Y521" s="38"/>
      <c r="Z521" s="95" t="s">
        <v>4172</v>
      </c>
    </row>
    <row r="522" spans="1:26" ht="16.95" customHeight="1" x14ac:dyDescent="0.25">
      <c r="A522" s="48" t="s">
        <v>4181</v>
      </c>
      <c r="B522" s="48">
        <v>2</v>
      </c>
      <c r="C522" s="48" t="s">
        <v>2342</v>
      </c>
      <c r="D522" s="48"/>
      <c r="E522" s="48"/>
      <c r="F522" s="49" t="s">
        <v>2251</v>
      </c>
      <c r="G522" s="48" t="s">
        <v>2289</v>
      </c>
      <c r="H522" s="48"/>
      <c r="I522" s="48" t="s">
        <v>2291</v>
      </c>
      <c r="J522" s="48"/>
      <c r="K522" s="90"/>
      <c r="L522" s="75" t="s">
        <v>2432</v>
      </c>
      <c r="M522" s="76" t="s">
        <v>4182</v>
      </c>
      <c r="N522" s="74" t="s">
        <v>4183</v>
      </c>
      <c r="O522" s="48"/>
      <c r="P522" s="48"/>
      <c r="Q522" s="48" t="s">
        <v>1933</v>
      </c>
      <c r="R522" s="48"/>
      <c r="S522" s="48" t="s">
        <v>1933</v>
      </c>
      <c r="T522" s="48" t="s">
        <v>1933</v>
      </c>
      <c r="U522" s="48"/>
      <c r="V522" s="48" t="s">
        <v>1933</v>
      </c>
      <c r="W522" s="48" t="s">
        <v>1933</v>
      </c>
      <c r="X522" s="48"/>
      <c r="Y522" s="48"/>
      <c r="Z522" s="95" t="s">
        <v>4184</v>
      </c>
    </row>
    <row r="523" spans="1:26" ht="16.95" customHeight="1" x14ac:dyDescent="0.25">
      <c r="A523" s="42" t="s">
        <v>4185</v>
      </c>
      <c r="B523" s="42">
        <v>5</v>
      </c>
      <c r="C523" s="42" t="s">
        <v>2315</v>
      </c>
      <c r="D523" s="42"/>
      <c r="E523" s="42"/>
      <c r="F523" s="43" t="s">
        <v>2251</v>
      </c>
      <c r="G523" s="42" t="s">
        <v>3801</v>
      </c>
      <c r="H523" s="42" t="s">
        <v>2290</v>
      </c>
      <c r="I523" s="42" t="s">
        <v>2291</v>
      </c>
      <c r="J523" s="42" t="s">
        <v>2310</v>
      </c>
      <c r="K523" s="89" t="s">
        <v>4186</v>
      </c>
      <c r="L523" s="66" t="s">
        <v>2292</v>
      </c>
      <c r="M523" s="67" t="s">
        <v>4187</v>
      </c>
      <c r="N523" s="65" t="s">
        <v>4188</v>
      </c>
      <c r="O523" s="42"/>
      <c r="P523" s="42"/>
      <c r="Q523" s="42"/>
      <c r="R523" s="42"/>
      <c r="S523" s="42"/>
      <c r="T523" s="42"/>
      <c r="U523" s="42"/>
      <c r="V523" s="42" t="s">
        <v>1933</v>
      </c>
      <c r="W523" s="42" t="s">
        <v>1933</v>
      </c>
      <c r="X523" s="42"/>
      <c r="Y523" s="42"/>
      <c r="Z523" s="95" t="s">
        <v>4184</v>
      </c>
    </row>
    <row r="524" spans="1:26" ht="16.95" customHeight="1" x14ac:dyDescent="0.25">
      <c r="A524" s="46" t="s">
        <v>4189</v>
      </c>
      <c r="B524" s="46">
        <v>2</v>
      </c>
      <c r="C524" s="46" t="s">
        <v>2334</v>
      </c>
      <c r="D524" s="46"/>
      <c r="E524" s="46" t="s">
        <v>1933</v>
      </c>
      <c r="F524" s="47" t="s">
        <v>2251</v>
      </c>
      <c r="G524" s="46" t="s">
        <v>2298</v>
      </c>
      <c r="H524" s="46" t="s">
        <v>2290</v>
      </c>
      <c r="I524" s="46" t="s">
        <v>2291</v>
      </c>
      <c r="J524" s="46" t="s">
        <v>2310</v>
      </c>
      <c r="K524" s="92" t="s">
        <v>4190</v>
      </c>
      <c r="L524" s="72" t="s">
        <v>2299</v>
      </c>
      <c r="M524" s="73" t="s">
        <v>4191</v>
      </c>
      <c r="N524" s="71" t="s">
        <v>4192</v>
      </c>
      <c r="O524" s="46"/>
      <c r="P524" s="46"/>
      <c r="Q524" s="46"/>
      <c r="R524" s="46"/>
      <c r="S524" s="46"/>
      <c r="T524" s="46" t="s">
        <v>1933</v>
      </c>
      <c r="U524" s="46" t="s">
        <v>1933</v>
      </c>
      <c r="V524" s="46" t="s">
        <v>1933</v>
      </c>
      <c r="W524" s="46"/>
      <c r="X524" s="46"/>
      <c r="Y524" s="46"/>
      <c r="Z524" s="94" t="s">
        <v>4193</v>
      </c>
    </row>
    <row r="525" spans="1:26" ht="16.95" customHeight="1" x14ac:dyDescent="0.25">
      <c r="A525" s="36" t="s">
        <v>4194</v>
      </c>
      <c r="B525" s="36">
        <v>4</v>
      </c>
      <c r="C525" s="36" t="s">
        <v>2297</v>
      </c>
      <c r="D525" s="36"/>
      <c r="E525" s="36"/>
      <c r="F525" s="37" t="s">
        <v>2343</v>
      </c>
      <c r="G525" s="36" t="s">
        <v>2289</v>
      </c>
      <c r="H525" s="36" t="s">
        <v>2290</v>
      </c>
      <c r="I525" s="36" t="s">
        <v>2291</v>
      </c>
      <c r="J525" s="36" t="s">
        <v>2310</v>
      </c>
      <c r="K525" s="87" t="s">
        <v>4195</v>
      </c>
      <c r="L525" s="57" t="s">
        <v>2432</v>
      </c>
      <c r="M525" s="58" t="s">
        <v>4196</v>
      </c>
      <c r="N525" s="56" t="s">
        <v>4197</v>
      </c>
      <c r="O525" s="36"/>
      <c r="P525" s="36"/>
      <c r="Q525" s="36"/>
      <c r="R525" s="36"/>
      <c r="S525" s="36"/>
      <c r="T525" s="36" t="s">
        <v>1933</v>
      </c>
      <c r="U525" s="36" t="s">
        <v>1933</v>
      </c>
      <c r="V525" s="36" t="s">
        <v>1933</v>
      </c>
      <c r="W525" s="36"/>
      <c r="X525" s="36"/>
      <c r="Y525" s="36"/>
      <c r="Z525" s="95" t="s">
        <v>4193</v>
      </c>
    </row>
    <row r="526" spans="1:26" ht="16.95" customHeight="1" x14ac:dyDescent="0.25">
      <c r="A526" s="346" t="s">
        <v>4342</v>
      </c>
      <c r="B526" s="346">
        <v>0</v>
      </c>
      <c r="C526" s="346" t="s">
        <v>2303</v>
      </c>
      <c r="D526" s="346"/>
      <c r="E526" s="346"/>
      <c r="F526" s="347" t="s">
        <v>2251</v>
      </c>
      <c r="G526" s="346" t="s">
        <v>2018</v>
      </c>
      <c r="H526" s="346" t="s">
        <v>2290</v>
      </c>
      <c r="I526" s="346" t="s">
        <v>2291</v>
      </c>
      <c r="J526" s="346"/>
      <c r="K526" s="348"/>
      <c r="L526" s="349" t="s">
        <v>2292</v>
      </c>
      <c r="M526" s="61" t="s">
        <v>4343</v>
      </c>
      <c r="N526" s="350" t="s">
        <v>4344</v>
      </c>
      <c r="O526" s="348"/>
      <c r="P526" s="348"/>
      <c r="Q526" s="348"/>
      <c r="R526" s="348"/>
      <c r="S526" s="348"/>
      <c r="T526" s="348"/>
      <c r="U526" s="348"/>
      <c r="V526" s="348" t="s">
        <v>1933</v>
      </c>
      <c r="W526" s="348"/>
      <c r="X526" s="348" t="s">
        <v>4345</v>
      </c>
      <c r="Y526" s="348" t="s">
        <v>1933</v>
      </c>
      <c r="Z526" s="340" t="s">
        <v>4346</v>
      </c>
    </row>
    <row r="527" spans="1:26" ht="16.95" customHeight="1" x14ac:dyDescent="0.25">
      <c r="A527" s="334" t="s">
        <v>4347</v>
      </c>
      <c r="B527" s="334">
        <v>1</v>
      </c>
      <c r="C527" s="334" t="s">
        <v>2334</v>
      </c>
      <c r="D527" s="334"/>
      <c r="E527" s="334"/>
      <c r="F527" s="337" t="s">
        <v>2343</v>
      </c>
      <c r="G527" s="334" t="s">
        <v>3801</v>
      </c>
      <c r="H527" s="334" t="s">
        <v>2290</v>
      </c>
      <c r="I527" s="334" t="s">
        <v>2291</v>
      </c>
      <c r="J527" s="334"/>
      <c r="K527" s="324"/>
      <c r="L527" s="326" t="s">
        <v>2427</v>
      </c>
      <c r="M527" s="73" t="s">
        <v>4348</v>
      </c>
      <c r="N527" s="325" t="s">
        <v>4349</v>
      </c>
      <c r="O527" s="324"/>
      <c r="P527" s="324"/>
      <c r="Q527" s="324"/>
      <c r="R527" s="324"/>
      <c r="S527" s="324"/>
      <c r="T527" s="324"/>
      <c r="U527" s="324"/>
      <c r="V527" s="324" t="s">
        <v>1933</v>
      </c>
      <c r="W527" s="324"/>
      <c r="X527" s="324" t="s">
        <v>1933</v>
      </c>
      <c r="Y527" s="324"/>
      <c r="Z527" s="340" t="s">
        <v>4346</v>
      </c>
    </row>
    <row r="528" spans="1:26" ht="16.95" customHeight="1" x14ac:dyDescent="0.25">
      <c r="A528" s="341" t="s">
        <v>4350</v>
      </c>
      <c r="B528" s="341">
        <v>1</v>
      </c>
      <c r="C528" s="341" t="s">
        <v>2315</v>
      </c>
      <c r="D528" s="341"/>
      <c r="E528" s="341"/>
      <c r="F528" s="342" t="s">
        <v>2251</v>
      </c>
      <c r="G528" s="341" t="s">
        <v>2289</v>
      </c>
      <c r="H528" s="341" t="s">
        <v>2290</v>
      </c>
      <c r="I528" s="341" t="s">
        <v>2291</v>
      </c>
      <c r="J528" s="341"/>
      <c r="K528" s="343"/>
      <c r="L528" s="344" t="s">
        <v>2355</v>
      </c>
      <c r="M528" s="67" t="s">
        <v>4351</v>
      </c>
      <c r="N528" s="345" t="s">
        <v>4352</v>
      </c>
      <c r="O528" s="343"/>
      <c r="P528" s="343"/>
      <c r="Q528" s="343"/>
      <c r="R528" s="343"/>
      <c r="S528" s="343"/>
      <c r="T528" s="343"/>
      <c r="U528" s="343"/>
      <c r="V528" s="343" t="s">
        <v>1933</v>
      </c>
      <c r="W528" s="343"/>
      <c r="X528" s="343"/>
      <c r="Y528" s="343" t="s">
        <v>1933</v>
      </c>
      <c r="Z528" s="340" t="s">
        <v>4346</v>
      </c>
    </row>
    <row r="529" spans="1:26" ht="16.95" customHeight="1" x14ac:dyDescent="0.25">
      <c r="A529" s="334" t="s">
        <v>4353</v>
      </c>
      <c r="B529" s="334">
        <v>2</v>
      </c>
      <c r="C529" s="334" t="s">
        <v>2334</v>
      </c>
      <c r="D529" s="334"/>
      <c r="E529" s="334"/>
      <c r="F529" s="337" t="s">
        <v>2343</v>
      </c>
      <c r="G529" s="334" t="s">
        <v>2289</v>
      </c>
      <c r="H529" s="334" t="s">
        <v>2290</v>
      </c>
      <c r="I529" s="334" t="s">
        <v>2291</v>
      </c>
      <c r="J529" s="334" t="s">
        <v>2310</v>
      </c>
      <c r="K529" s="324" t="s">
        <v>4354</v>
      </c>
      <c r="L529" s="326" t="s">
        <v>2338</v>
      </c>
      <c r="M529" s="73" t="s">
        <v>4355</v>
      </c>
      <c r="N529" s="325" t="s">
        <v>4356</v>
      </c>
      <c r="O529" s="324"/>
      <c r="P529" s="324"/>
      <c r="Q529" s="324"/>
      <c r="R529" s="324"/>
      <c r="S529" s="324"/>
      <c r="T529" s="324"/>
      <c r="U529" s="324"/>
      <c r="V529" s="324" t="s">
        <v>1933</v>
      </c>
      <c r="W529" s="324"/>
      <c r="X529" s="324" t="s">
        <v>1933</v>
      </c>
      <c r="Y529" s="324" t="s">
        <v>1933</v>
      </c>
      <c r="Z529" s="340" t="s">
        <v>4346</v>
      </c>
    </row>
    <row r="530" spans="1:26" ht="16.95" customHeight="1" x14ac:dyDescent="0.25">
      <c r="A530" s="341" t="s">
        <v>4357</v>
      </c>
      <c r="B530" s="341">
        <v>2</v>
      </c>
      <c r="C530" s="341" t="s">
        <v>2315</v>
      </c>
      <c r="D530" s="341"/>
      <c r="E530" s="341"/>
      <c r="F530" s="342" t="s">
        <v>2251</v>
      </c>
      <c r="G530" s="341" t="s">
        <v>3801</v>
      </c>
      <c r="H530" s="341" t="s">
        <v>2290</v>
      </c>
      <c r="I530" s="341" t="s">
        <v>2291</v>
      </c>
      <c r="J530" s="341" t="s">
        <v>2310</v>
      </c>
      <c r="K530" s="343" t="s">
        <v>4358</v>
      </c>
      <c r="L530" s="344" t="s">
        <v>2338</v>
      </c>
      <c r="M530" s="67" t="s">
        <v>4359</v>
      </c>
      <c r="N530" s="345" t="s">
        <v>4360</v>
      </c>
      <c r="O530" s="343"/>
      <c r="P530" s="343"/>
      <c r="Q530" s="343"/>
      <c r="R530" s="343"/>
      <c r="S530" s="343"/>
      <c r="T530" s="343"/>
      <c r="U530" s="343"/>
      <c r="V530" s="343" t="s">
        <v>1933</v>
      </c>
      <c r="W530" s="343"/>
      <c r="X530" s="343"/>
      <c r="Y530" s="343" t="s">
        <v>1933</v>
      </c>
      <c r="Z530" s="340" t="s">
        <v>4346</v>
      </c>
    </row>
    <row r="531" spans="1:26" ht="16.95" customHeight="1" x14ac:dyDescent="0.25">
      <c r="A531" s="335" t="s">
        <v>4361</v>
      </c>
      <c r="B531" s="335">
        <v>2</v>
      </c>
      <c r="C531" s="335" t="s">
        <v>4400</v>
      </c>
      <c r="D531" s="335" t="s">
        <v>1933</v>
      </c>
      <c r="E531" s="335" t="s">
        <v>1933</v>
      </c>
      <c r="F531" s="338" t="s">
        <v>2472</v>
      </c>
      <c r="G531" s="335" t="s">
        <v>2298</v>
      </c>
      <c r="H531" s="335"/>
      <c r="I531" s="335" t="s">
        <v>2291</v>
      </c>
      <c r="J531" s="335"/>
      <c r="K531" s="327"/>
      <c r="L531" s="329" t="s">
        <v>3748</v>
      </c>
      <c r="M531" s="330" t="s">
        <v>4362</v>
      </c>
      <c r="N531" s="328" t="s">
        <v>4363</v>
      </c>
      <c r="O531" s="327"/>
      <c r="P531" s="327"/>
      <c r="Q531" s="327"/>
      <c r="R531" s="327"/>
      <c r="S531" s="327"/>
      <c r="T531" s="327"/>
      <c r="U531" s="327"/>
      <c r="V531" s="327" t="s">
        <v>1933</v>
      </c>
      <c r="W531" s="327"/>
      <c r="X531" s="327" t="s">
        <v>1933</v>
      </c>
      <c r="Y531" s="327" t="s">
        <v>1933</v>
      </c>
      <c r="Z531" s="340" t="s">
        <v>4346</v>
      </c>
    </row>
    <row r="532" spans="1:26" ht="16.95" customHeight="1" x14ac:dyDescent="0.25">
      <c r="A532" s="336" t="s">
        <v>4364</v>
      </c>
      <c r="B532" s="336">
        <v>3</v>
      </c>
      <c r="C532" s="336" t="s">
        <v>2288</v>
      </c>
      <c r="D532" s="336"/>
      <c r="E532" s="336"/>
      <c r="F532" s="339" t="s">
        <v>2251</v>
      </c>
      <c r="G532" s="336" t="s">
        <v>4402</v>
      </c>
      <c r="H532" s="336" t="s">
        <v>2290</v>
      </c>
      <c r="I532" s="336" t="s">
        <v>2291</v>
      </c>
      <c r="J532" s="336"/>
      <c r="K532" s="331"/>
      <c r="L532" s="333" t="s">
        <v>2292</v>
      </c>
      <c r="M532" s="55" t="s">
        <v>4365</v>
      </c>
      <c r="N532" s="332" t="s">
        <v>4366</v>
      </c>
      <c r="O532" s="331"/>
      <c r="P532" s="331"/>
      <c r="Q532" s="331"/>
      <c r="R532" s="331"/>
      <c r="S532" s="331"/>
      <c r="T532" s="331"/>
      <c r="U532" s="331"/>
      <c r="V532" s="331" t="s">
        <v>1933</v>
      </c>
      <c r="W532" s="331"/>
      <c r="X532" s="331" t="s">
        <v>1933</v>
      </c>
      <c r="Y532" s="331" t="s">
        <v>1933</v>
      </c>
      <c r="Z532" s="340" t="s">
        <v>4346</v>
      </c>
    </row>
    <row r="533" spans="1:26" ht="16.95" customHeight="1" x14ac:dyDescent="0.25">
      <c r="A533" s="336" t="s">
        <v>4367</v>
      </c>
      <c r="B533" s="336">
        <v>4</v>
      </c>
      <c r="C533" s="336" t="s">
        <v>2288</v>
      </c>
      <c r="D533" s="336"/>
      <c r="E533" s="336"/>
      <c r="F533" s="339" t="s">
        <v>2251</v>
      </c>
      <c r="G533" s="336" t="s">
        <v>2309</v>
      </c>
      <c r="H533" s="336" t="s">
        <v>2290</v>
      </c>
      <c r="I533" s="336" t="s">
        <v>2291</v>
      </c>
      <c r="J533" s="336" t="s">
        <v>2310</v>
      </c>
      <c r="K533" s="331" t="s">
        <v>4368</v>
      </c>
      <c r="L533" s="333" t="s">
        <v>2292</v>
      </c>
      <c r="M533" s="55" t="s">
        <v>4369</v>
      </c>
      <c r="N533" s="332" t="s">
        <v>4370</v>
      </c>
      <c r="O533" s="331"/>
      <c r="P533" s="331"/>
      <c r="Q533" s="331"/>
      <c r="R533" s="331"/>
      <c r="S533" s="331"/>
      <c r="T533" s="331"/>
      <c r="U533" s="331"/>
      <c r="V533" s="331" t="s">
        <v>1933</v>
      </c>
      <c r="W533" s="331"/>
      <c r="X533" s="331"/>
      <c r="Y533" s="331" t="s">
        <v>1933</v>
      </c>
      <c r="Z533" s="340" t="s">
        <v>4346</v>
      </c>
    </row>
    <row r="534" spans="1:26" ht="16.95" customHeight="1" x14ac:dyDescent="0.25">
      <c r="A534" s="341" t="s">
        <v>4371</v>
      </c>
      <c r="B534" s="341">
        <v>5</v>
      </c>
      <c r="C534" s="341" t="s">
        <v>2315</v>
      </c>
      <c r="D534" s="341"/>
      <c r="E534" s="341"/>
      <c r="F534" s="342" t="s">
        <v>4372</v>
      </c>
      <c r="G534" s="341" t="s">
        <v>2309</v>
      </c>
      <c r="H534" s="341" t="s">
        <v>2290</v>
      </c>
      <c r="I534" s="341" t="s">
        <v>2291</v>
      </c>
      <c r="J534" s="341"/>
      <c r="K534" s="343"/>
      <c r="L534" s="344" t="s">
        <v>2355</v>
      </c>
      <c r="M534" s="67" t="s">
        <v>4373</v>
      </c>
      <c r="N534" s="345" t="s">
        <v>4374</v>
      </c>
      <c r="O534" s="343"/>
      <c r="P534" s="343"/>
      <c r="Q534" s="343"/>
      <c r="R534" s="343"/>
      <c r="S534" s="343"/>
      <c r="T534" s="343"/>
      <c r="U534" s="343"/>
      <c r="V534" s="343" t="s">
        <v>1933</v>
      </c>
      <c r="W534" s="343"/>
      <c r="X534" s="343" t="s">
        <v>1933</v>
      </c>
      <c r="Y534" s="343"/>
      <c r="Z534" s="340" t="s">
        <v>4346</v>
      </c>
    </row>
    <row r="535" spans="1:26" ht="16.95" customHeight="1" x14ac:dyDescent="0.25">
      <c r="A535" s="336" t="s">
        <v>4375</v>
      </c>
      <c r="B535" s="336">
        <v>6</v>
      </c>
      <c r="C535" s="336" t="s">
        <v>2288</v>
      </c>
      <c r="D535" s="336"/>
      <c r="E535" s="336"/>
      <c r="F535" s="339" t="s">
        <v>2251</v>
      </c>
      <c r="G535" s="336" t="s">
        <v>4402</v>
      </c>
      <c r="H535" s="336" t="s">
        <v>2290</v>
      </c>
      <c r="I535" s="336" t="s">
        <v>2291</v>
      </c>
      <c r="J535" s="336" t="s">
        <v>2310</v>
      </c>
      <c r="K535" s="331" t="s">
        <v>4376</v>
      </c>
      <c r="L535" s="333" t="s">
        <v>2292</v>
      </c>
      <c r="M535" s="55" t="s">
        <v>4377</v>
      </c>
      <c r="N535" s="332" t="s">
        <v>4378</v>
      </c>
      <c r="O535" s="331"/>
      <c r="P535" s="331"/>
      <c r="Q535" s="331"/>
      <c r="R535" s="331"/>
      <c r="S535" s="331"/>
      <c r="T535" s="331"/>
      <c r="U535" s="331"/>
      <c r="V535" s="331" t="s">
        <v>1933</v>
      </c>
      <c r="W535" s="331"/>
      <c r="X535" s="331"/>
      <c r="Y535" s="331" t="s">
        <v>1933</v>
      </c>
      <c r="Z535" s="340" t="s">
        <v>4346</v>
      </c>
    </row>
    <row r="536" spans="1:26" ht="16.95" customHeight="1" x14ac:dyDescent="0.25">
      <c r="A536" s="346" t="s">
        <v>4379</v>
      </c>
      <c r="B536" s="346">
        <v>7</v>
      </c>
      <c r="C536" s="346" t="s">
        <v>2303</v>
      </c>
      <c r="D536" s="346"/>
      <c r="E536" s="346" t="s">
        <v>1933</v>
      </c>
      <c r="F536" s="347" t="s">
        <v>2251</v>
      </c>
      <c r="G536" s="346" t="s">
        <v>2289</v>
      </c>
      <c r="H536" s="346" t="s">
        <v>2290</v>
      </c>
      <c r="I536" s="346" t="s">
        <v>2291</v>
      </c>
      <c r="J536" s="346" t="s">
        <v>2310</v>
      </c>
      <c r="K536" s="348" t="s">
        <v>4380</v>
      </c>
      <c r="L536" s="349" t="s">
        <v>3748</v>
      </c>
      <c r="M536" s="61" t="s">
        <v>4381</v>
      </c>
      <c r="N536" s="350" t="s">
        <v>4382</v>
      </c>
      <c r="O536" s="348"/>
      <c r="P536" s="348"/>
      <c r="Q536" s="348"/>
      <c r="R536" s="348"/>
      <c r="S536" s="348"/>
      <c r="T536" s="348"/>
      <c r="U536" s="348"/>
      <c r="V536" s="348" t="s">
        <v>1933</v>
      </c>
      <c r="W536" s="348"/>
      <c r="X536" s="348" t="s">
        <v>1933</v>
      </c>
      <c r="Y536" s="348" t="s">
        <v>1933</v>
      </c>
      <c r="Z536" s="340" t="s">
        <v>4346</v>
      </c>
    </row>
    <row r="537" spans="1:26" ht="16.95" customHeight="1" x14ac:dyDescent="0.25">
      <c r="A537" s="336" t="s">
        <v>4383</v>
      </c>
      <c r="B537" s="336">
        <v>8</v>
      </c>
      <c r="C537" s="336" t="s">
        <v>2288</v>
      </c>
      <c r="D537" s="336"/>
      <c r="E537" s="336" t="s">
        <v>1933</v>
      </c>
      <c r="F537" s="339" t="s">
        <v>2251</v>
      </c>
      <c r="G537" s="336" t="s">
        <v>2865</v>
      </c>
      <c r="H537" s="336" t="s">
        <v>2290</v>
      </c>
      <c r="I537" s="336" t="s">
        <v>2291</v>
      </c>
      <c r="J537" s="336" t="s">
        <v>2310</v>
      </c>
      <c r="K537" s="331" t="s">
        <v>4384</v>
      </c>
      <c r="L537" s="333" t="s">
        <v>3740</v>
      </c>
      <c r="M537" s="55" t="s">
        <v>4385</v>
      </c>
      <c r="N537" s="332" t="s">
        <v>4386</v>
      </c>
      <c r="O537" s="331"/>
      <c r="P537" s="331"/>
      <c r="Q537" s="331"/>
      <c r="R537" s="331"/>
      <c r="S537" s="331"/>
      <c r="T537" s="331"/>
      <c r="U537" s="331"/>
      <c r="V537" s="331" t="s">
        <v>1933</v>
      </c>
      <c r="W537" s="331"/>
      <c r="X537" s="331"/>
      <c r="Y537" s="331" t="s">
        <v>1933</v>
      </c>
      <c r="Z537" s="340" t="s">
        <v>4346</v>
      </c>
    </row>
    <row r="538" spans="1:26" ht="16.95" customHeight="1" x14ac:dyDescent="0.25">
      <c r="A538" s="335" t="s">
        <v>4387</v>
      </c>
      <c r="B538" s="335">
        <v>8</v>
      </c>
      <c r="C538" s="335" t="s">
        <v>2342</v>
      </c>
      <c r="D538" s="335"/>
      <c r="E538" s="335" t="s">
        <v>1933</v>
      </c>
      <c r="F538" s="338" t="s">
        <v>2251</v>
      </c>
      <c r="G538" s="335" t="s">
        <v>2289</v>
      </c>
      <c r="H538" s="335" t="s">
        <v>2290</v>
      </c>
      <c r="I538" s="335" t="s">
        <v>2291</v>
      </c>
      <c r="J538" s="335" t="s">
        <v>2310</v>
      </c>
      <c r="K538" s="327" t="s">
        <v>4388</v>
      </c>
      <c r="L538" s="329" t="s">
        <v>3740</v>
      </c>
      <c r="M538" s="330" t="s">
        <v>4389</v>
      </c>
      <c r="N538" s="328" t="s">
        <v>4390</v>
      </c>
      <c r="O538" s="327"/>
      <c r="P538" s="327"/>
      <c r="Q538" s="327"/>
      <c r="R538" s="327"/>
      <c r="S538" s="327"/>
      <c r="T538" s="327"/>
      <c r="U538" s="327"/>
      <c r="V538" s="327" t="s">
        <v>1933</v>
      </c>
      <c r="W538" s="327"/>
      <c r="X538" s="327" t="s">
        <v>1933</v>
      </c>
      <c r="Y538" s="327"/>
      <c r="Z538" s="340" t="s">
        <v>4346</v>
      </c>
    </row>
    <row r="539" spans="1:26" ht="16.95" customHeight="1" x14ac:dyDescent="0.25">
      <c r="A539" s="336" t="s">
        <v>4391</v>
      </c>
      <c r="B539" s="336">
        <v>9</v>
      </c>
      <c r="C539" s="336" t="s">
        <v>2288</v>
      </c>
      <c r="D539" s="336"/>
      <c r="E539" s="336" t="s">
        <v>1933</v>
      </c>
      <c r="F539" s="339" t="s">
        <v>2251</v>
      </c>
      <c r="G539" s="336" t="s">
        <v>4392</v>
      </c>
      <c r="H539" s="336" t="s">
        <v>2290</v>
      </c>
      <c r="I539" s="336" t="s">
        <v>2291</v>
      </c>
      <c r="J539" s="336" t="s">
        <v>2310</v>
      </c>
      <c r="K539" s="331" t="s">
        <v>4393</v>
      </c>
      <c r="L539" s="333" t="s">
        <v>3740</v>
      </c>
      <c r="M539" s="55" t="s">
        <v>4394</v>
      </c>
      <c r="N539" s="332" t="s">
        <v>4395</v>
      </c>
      <c r="O539" s="331"/>
      <c r="P539" s="331"/>
      <c r="Q539" s="331"/>
      <c r="R539" s="331"/>
      <c r="S539" s="331"/>
      <c r="T539" s="331"/>
      <c r="U539" s="331"/>
      <c r="V539" s="331" t="s">
        <v>1933</v>
      </c>
      <c r="W539" s="331"/>
      <c r="X539" s="331"/>
      <c r="Y539" s="331" t="s">
        <v>1933</v>
      </c>
      <c r="Z539" s="340" t="s">
        <v>4346</v>
      </c>
    </row>
    <row r="540" spans="1:26" ht="16.95" customHeight="1" x14ac:dyDescent="0.25">
      <c r="A540" s="346" t="s">
        <v>4396</v>
      </c>
      <c r="B540" s="346">
        <v>9</v>
      </c>
      <c r="C540" s="346" t="s">
        <v>2303</v>
      </c>
      <c r="D540" s="346"/>
      <c r="E540" s="346"/>
      <c r="F540" s="347" t="s">
        <v>2251</v>
      </c>
      <c r="G540" s="346" t="s">
        <v>2457</v>
      </c>
      <c r="H540" s="346" t="s">
        <v>2290</v>
      </c>
      <c r="I540" s="346" t="s">
        <v>2291</v>
      </c>
      <c r="J540" s="346" t="s">
        <v>2310</v>
      </c>
      <c r="K540" s="348" t="s">
        <v>4397</v>
      </c>
      <c r="L540" s="349" t="s">
        <v>2292</v>
      </c>
      <c r="M540" s="61" t="s">
        <v>4398</v>
      </c>
      <c r="N540" s="350" t="s">
        <v>4399</v>
      </c>
      <c r="O540" s="348"/>
      <c r="P540" s="348"/>
      <c r="Q540" s="348"/>
      <c r="R540" s="348"/>
      <c r="S540" s="348"/>
      <c r="T540" s="348"/>
      <c r="U540" s="348"/>
      <c r="V540" s="348" t="s">
        <v>1933</v>
      </c>
      <c r="W540" s="348"/>
      <c r="X540" s="348" t="s">
        <v>1933</v>
      </c>
      <c r="Y540" s="348"/>
      <c r="Z540" s="340" t="s">
        <v>4346</v>
      </c>
    </row>
    <row r="541" spans="1:26" ht="16.95" customHeight="1" x14ac:dyDescent="0.25">
      <c r="A541" s="96"/>
      <c r="B541" s="96"/>
      <c r="C541" s="96"/>
      <c r="D541" s="96"/>
      <c r="E541" s="96"/>
      <c r="F541" s="97"/>
      <c r="G541" s="96"/>
      <c r="H541" s="96"/>
      <c r="I541" s="96"/>
      <c r="J541" s="96"/>
      <c r="K541" s="33"/>
      <c r="L541" s="51"/>
      <c r="M541" s="99"/>
      <c r="N541" s="33"/>
      <c r="O541" s="96"/>
      <c r="P541" s="96"/>
      <c r="Q541" s="96"/>
      <c r="R541" s="96"/>
      <c r="S541" s="96"/>
      <c r="T541" s="96"/>
      <c r="U541" s="96"/>
      <c r="V541" s="96"/>
      <c r="W541" s="96"/>
      <c r="X541" s="96"/>
      <c r="Y541" s="96"/>
      <c r="Z541" s="32"/>
    </row>
    <row r="542" spans="1:26" ht="16.95" customHeight="1" x14ac:dyDescent="0.25">
      <c r="A542" s="96"/>
      <c r="B542" s="96"/>
      <c r="C542" s="96"/>
      <c r="D542" s="96"/>
      <c r="E542" s="96"/>
      <c r="F542" s="97"/>
      <c r="G542" s="96"/>
      <c r="H542" s="96"/>
      <c r="I542" s="96"/>
      <c r="J542" s="96"/>
      <c r="K542" s="33"/>
      <c r="L542" s="51"/>
      <c r="M542" s="99"/>
      <c r="N542" s="33"/>
      <c r="O542" s="96"/>
      <c r="P542" s="96"/>
      <c r="Q542" s="96"/>
      <c r="R542" s="96"/>
      <c r="S542" s="96"/>
      <c r="T542" s="96"/>
      <c r="U542" s="96"/>
      <c r="V542" s="96"/>
      <c r="W542" s="96"/>
      <c r="X542" s="96"/>
      <c r="Y542" s="96"/>
      <c r="Z542" s="32"/>
    </row>
    <row r="543" spans="1:26" ht="16.95" customHeight="1" x14ac:dyDescent="0.25">
      <c r="A543" s="96"/>
      <c r="B543" s="96"/>
      <c r="C543" s="96"/>
      <c r="D543" s="96"/>
      <c r="E543" s="96"/>
      <c r="F543" s="97"/>
      <c r="G543" s="96"/>
      <c r="H543" s="96"/>
      <c r="I543" s="96"/>
      <c r="J543" s="96"/>
      <c r="K543" s="33"/>
      <c r="L543" s="51"/>
      <c r="M543" s="99"/>
      <c r="N543" s="33"/>
      <c r="O543" s="96"/>
      <c r="P543" s="96"/>
      <c r="Q543" s="96"/>
      <c r="R543" s="96"/>
      <c r="S543" s="96"/>
      <c r="T543" s="96"/>
      <c r="U543" s="96"/>
      <c r="V543" s="96"/>
      <c r="W543" s="96"/>
      <c r="X543" s="96"/>
      <c r="Y543" s="96"/>
      <c r="Z543" s="32"/>
    </row>
    <row r="544" spans="1:26" ht="16.95" customHeight="1" x14ac:dyDescent="0.25">
      <c r="A544" s="96"/>
      <c r="B544" s="96"/>
      <c r="C544" s="96"/>
      <c r="D544" s="96"/>
      <c r="E544" s="96"/>
      <c r="F544" s="97"/>
      <c r="G544" s="96"/>
      <c r="H544" s="96"/>
      <c r="I544" s="96"/>
      <c r="J544" s="96"/>
      <c r="K544" s="33"/>
      <c r="L544" s="51"/>
      <c r="M544" s="99"/>
      <c r="N544" s="33"/>
      <c r="O544" s="96"/>
      <c r="P544" s="96"/>
      <c r="Q544" s="96"/>
      <c r="R544" s="96"/>
      <c r="S544" s="96"/>
      <c r="T544" s="96"/>
      <c r="U544" s="96"/>
      <c r="V544" s="96"/>
      <c r="W544" s="96"/>
      <c r="X544" s="96"/>
      <c r="Y544" s="96"/>
      <c r="Z544" s="32"/>
    </row>
    <row r="545" spans="1:26" ht="16.95" customHeight="1" x14ac:dyDescent="0.25">
      <c r="A545" s="98" t="str">
        <f>IF(自定义调整栏!C3="","",自定义调整栏!C3)</f>
        <v/>
      </c>
      <c r="B545" s="26" t="str">
        <f>IF(自定义调整栏!C3="","",IF(自定义调整栏!B3="戏法",0,自定义调整栏!B3))</f>
        <v/>
      </c>
      <c r="C545" s="26" t="str">
        <f>IF(自定义调整栏!C3="","",自定义调整栏!E3)</f>
        <v/>
      </c>
      <c r="D545" s="26" t="str">
        <f>IF(自定义调整栏!N3="","",自定义调整栏!N3)</f>
        <v/>
      </c>
      <c r="E545" s="26" t="str">
        <f>IF(自定义调整栏!M3="","",自定义调整栏!M3)</f>
        <v/>
      </c>
      <c r="F545" s="28" t="str">
        <f>IF(自定义调整栏!F3="","",自定义调整栏!F3)</f>
        <v/>
      </c>
      <c r="G545" s="26" t="str">
        <f>IF(自定义调整栏!D3="","",自定义调整栏!D3)</f>
        <v/>
      </c>
      <c r="H545" s="26" t="str">
        <f>IF(自定义调整栏!G3="","",自定义调整栏!G3)</f>
        <v/>
      </c>
      <c r="I545" s="26" t="str">
        <f>IF(自定义调整栏!H3="","",自定义调整栏!H3)</f>
        <v/>
      </c>
      <c r="J545" s="26" t="str">
        <f>IF(自定义调整栏!I3="","",自定义调整栏!I3)</f>
        <v/>
      </c>
      <c r="K545" s="29" t="str">
        <f>IF(自定义调整栏!J3="","",自定义调整栏!J3)</f>
        <v/>
      </c>
      <c r="L545" s="30" t="str">
        <f>IF(自定义调整栏!K3="","",自定义调整栏!K3)</f>
        <v/>
      </c>
      <c r="M545" s="31" t="str">
        <f>IF(自定义调整栏!L3="","",自定义调整栏!L3)</f>
        <v/>
      </c>
      <c r="N545" s="29" t="s">
        <v>4198</v>
      </c>
      <c r="Z545" s="27" t="s">
        <v>4199</v>
      </c>
    </row>
    <row r="546" spans="1:26" ht="16.95" customHeight="1" x14ac:dyDescent="0.25">
      <c r="A546" s="98" t="str">
        <f>IF(自定义调整栏!C4="","",自定义调整栏!C4)</f>
        <v/>
      </c>
      <c r="B546" s="26" t="str">
        <f>IF(自定义调整栏!C4="","",IF(自定义调整栏!B4="戏法",0,自定义调整栏!B4))</f>
        <v/>
      </c>
      <c r="C546" s="26" t="str">
        <f>IF(自定义调整栏!C4="","",自定义调整栏!E4)</f>
        <v/>
      </c>
      <c r="D546" s="26" t="str">
        <f>IF(自定义调整栏!N4="","",自定义调整栏!N4)</f>
        <v/>
      </c>
      <c r="E546" s="26" t="str">
        <f>IF(自定义调整栏!M4="","",自定义调整栏!M4)</f>
        <v/>
      </c>
      <c r="F546" s="28" t="str">
        <f>IF(自定义调整栏!F4="","",自定义调整栏!F4)</f>
        <v/>
      </c>
      <c r="G546" s="26" t="str">
        <f>IF(自定义调整栏!D4="","",自定义调整栏!D4)</f>
        <v/>
      </c>
      <c r="H546" s="26" t="str">
        <f>IF(自定义调整栏!G4="","",自定义调整栏!G4)</f>
        <v/>
      </c>
      <c r="I546" s="26" t="str">
        <f>IF(自定义调整栏!H4="","",自定义调整栏!H4)</f>
        <v/>
      </c>
      <c r="J546" s="26" t="str">
        <f>IF(自定义调整栏!I4="","",自定义调整栏!I4)</f>
        <v/>
      </c>
      <c r="K546" s="29" t="str">
        <f>IF(自定义调整栏!J4="","",自定义调整栏!J4)</f>
        <v/>
      </c>
      <c r="L546" s="30" t="str">
        <f>IF(自定义调整栏!K4="","",自定义调整栏!K4)</f>
        <v/>
      </c>
      <c r="M546" s="31" t="str">
        <f>IF(自定义调整栏!L4="","",自定义调整栏!L4)</f>
        <v/>
      </c>
      <c r="N546" s="29" t="s">
        <v>4198</v>
      </c>
      <c r="Z546" s="27" t="s">
        <v>4199</v>
      </c>
    </row>
    <row r="547" spans="1:26" ht="16.95" customHeight="1" x14ac:dyDescent="0.25">
      <c r="A547" s="98" t="str">
        <f>IF(自定义调整栏!C5="","",自定义调整栏!C5)</f>
        <v/>
      </c>
      <c r="B547" s="26" t="str">
        <f>IF(自定义调整栏!C5="","",IF(自定义调整栏!B5="戏法",0,自定义调整栏!B5))</f>
        <v/>
      </c>
      <c r="C547" s="26" t="str">
        <f>IF(自定义调整栏!C5="","",自定义调整栏!E5)</f>
        <v/>
      </c>
      <c r="D547" s="26" t="str">
        <f>IF(自定义调整栏!N5="","",自定义调整栏!N5)</f>
        <v/>
      </c>
      <c r="E547" s="26" t="str">
        <f>IF(自定义调整栏!M5="","",自定义调整栏!M5)</f>
        <v/>
      </c>
      <c r="F547" s="28" t="str">
        <f>IF(自定义调整栏!F5="","",自定义调整栏!F5)</f>
        <v/>
      </c>
      <c r="G547" s="26" t="str">
        <f>IF(自定义调整栏!D5="","",自定义调整栏!D5)</f>
        <v/>
      </c>
      <c r="H547" s="26" t="str">
        <f>IF(自定义调整栏!G5="","",自定义调整栏!G5)</f>
        <v/>
      </c>
      <c r="I547" s="26" t="str">
        <f>IF(自定义调整栏!H5="","",自定义调整栏!H5)</f>
        <v/>
      </c>
      <c r="J547" s="26" t="str">
        <f>IF(自定义调整栏!I5="","",自定义调整栏!I5)</f>
        <v/>
      </c>
      <c r="K547" s="29" t="str">
        <f>IF(自定义调整栏!J5="","",自定义调整栏!J5)</f>
        <v/>
      </c>
      <c r="L547" s="30" t="str">
        <f>IF(自定义调整栏!K5="","",自定义调整栏!K5)</f>
        <v/>
      </c>
      <c r="M547" s="31" t="str">
        <f>IF(自定义调整栏!L5="","",自定义调整栏!L5)</f>
        <v/>
      </c>
      <c r="N547" s="29" t="s">
        <v>4198</v>
      </c>
      <c r="Z547" s="27" t="s">
        <v>4199</v>
      </c>
    </row>
    <row r="548" spans="1:26" ht="16.95" customHeight="1" x14ac:dyDescent="0.25">
      <c r="A548" s="98" t="str">
        <f>IF(自定义调整栏!C6="","",自定义调整栏!C6)</f>
        <v/>
      </c>
      <c r="B548" s="26" t="str">
        <f>IF(自定义调整栏!C6="","",IF(自定义调整栏!B6="戏法",0,自定义调整栏!B6))</f>
        <v/>
      </c>
      <c r="C548" s="26" t="str">
        <f>IF(自定义调整栏!C6="","",自定义调整栏!E6)</f>
        <v/>
      </c>
      <c r="D548" s="26" t="str">
        <f>IF(自定义调整栏!N6="","",自定义调整栏!N6)</f>
        <v/>
      </c>
      <c r="E548" s="26" t="str">
        <f>IF(自定义调整栏!M6="","",自定义调整栏!M6)</f>
        <v/>
      </c>
      <c r="F548" s="28" t="str">
        <f>IF(自定义调整栏!F6="","",自定义调整栏!F6)</f>
        <v/>
      </c>
      <c r="G548" s="26" t="str">
        <f>IF(自定义调整栏!D6="","",自定义调整栏!D6)</f>
        <v/>
      </c>
      <c r="H548" s="26" t="str">
        <f>IF(自定义调整栏!G6="","",自定义调整栏!G6)</f>
        <v/>
      </c>
      <c r="I548" s="26" t="str">
        <f>IF(自定义调整栏!H6="","",自定义调整栏!H6)</f>
        <v/>
      </c>
      <c r="J548" s="26" t="str">
        <f>IF(自定义调整栏!I6="","",自定义调整栏!I6)</f>
        <v/>
      </c>
      <c r="K548" s="29" t="str">
        <f>IF(自定义调整栏!J6="","",自定义调整栏!J6)</f>
        <v/>
      </c>
      <c r="L548" s="30" t="str">
        <f>IF(自定义调整栏!K6="","",自定义调整栏!K6)</f>
        <v/>
      </c>
      <c r="M548" s="31" t="str">
        <f>IF(自定义调整栏!L6="","",自定义调整栏!L6)</f>
        <v/>
      </c>
      <c r="N548" s="29" t="s">
        <v>4198</v>
      </c>
      <c r="Z548" s="27" t="s">
        <v>4199</v>
      </c>
    </row>
    <row r="549" spans="1:26" ht="16.95" customHeight="1" x14ac:dyDescent="0.25">
      <c r="A549" s="98" t="str">
        <f>IF(自定义调整栏!C7="","",自定义调整栏!C7)</f>
        <v/>
      </c>
      <c r="B549" s="26" t="str">
        <f>IF(自定义调整栏!C7="","",IF(自定义调整栏!B7="戏法",0,自定义调整栏!B7))</f>
        <v/>
      </c>
      <c r="C549" s="26" t="str">
        <f>IF(自定义调整栏!C7="","",自定义调整栏!E7)</f>
        <v/>
      </c>
      <c r="D549" s="26" t="str">
        <f>IF(自定义调整栏!N7="","",自定义调整栏!N7)</f>
        <v/>
      </c>
      <c r="E549" s="26" t="str">
        <f>IF(自定义调整栏!M7="","",自定义调整栏!M7)</f>
        <v/>
      </c>
      <c r="F549" s="28" t="str">
        <f>IF(自定义调整栏!F7="","",自定义调整栏!F7)</f>
        <v/>
      </c>
      <c r="G549" s="26" t="str">
        <f>IF(自定义调整栏!D7="","",自定义调整栏!D7)</f>
        <v/>
      </c>
      <c r="H549" s="26" t="str">
        <f>IF(自定义调整栏!G7="","",自定义调整栏!G7)</f>
        <v/>
      </c>
      <c r="I549" s="26" t="str">
        <f>IF(自定义调整栏!H7="","",自定义调整栏!H7)</f>
        <v/>
      </c>
      <c r="J549" s="26" t="str">
        <f>IF(自定义调整栏!I7="","",自定义调整栏!I7)</f>
        <v/>
      </c>
      <c r="K549" s="29" t="str">
        <f>IF(自定义调整栏!J7="","",自定义调整栏!J7)</f>
        <v/>
      </c>
      <c r="L549" s="30" t="str">
        <f>IF(自定义调整栏!K7="","",自定义调整栏!K7)</f>
        <v/>
      </c>
      <c r="M549" s="31" t="str">
        <f>IF(自定义调整栏!L7="","",自定义调整栏!L7)</f>
        <v/>
      </c>
      <c r="N549" s="29" t="s">
        <v>4198</v>
      </c>
      <c r="Z549" s="27" t="s">
        <v>4199</v>
      </c>
    </row>
    <row r="550" spans="1:26" ht="16.95" customHeight="1" x14ac:dyDescent="0.25">
      <c r="A550" s="98" t="str">
        <f>IF(自定义调整栏!C8="","",自定义调整栏!C8)</f>
        <v/>
      </c>
      <c r="B550" s="26" t="str">
        <f>IF(自定义调整栏!C8="","",IF(自定义调整栏!B8="戏法",0,自定义调整栏!B8))</f>
        <v/>
      </c>
      <c r="C550" s="26" t="str">
        <f>IF(自定义调整栏!C8="","",自定义调整栏!E8)</f>
        <v/>
      </c>
      <c r="D550" s="26" t="str">
        <f>IF(自定义调整栏!N8="","",自定义调整栏!N8)</f>
        <v/>
      </c>
      <c r="E550" s="26" t="str">
        <f>IF(自定义调整栏!M8="","",自定义调整栏!M8)</f>
        <v/>
      </c>
      <c r="F550" s="28" t="str">
        <f>IF(自定义调整栏!F8="","",自定义调整栏!F8)</f>
        <v/>
      </c>
      <c r="G550" s="26" t="str">
        <f>IF(自定义调整栏!D8="","",自定义调整栏!D8)</f>
        <v/>
      </c>
      <c r="H550" s="26" t="str">
        <f>IF(自定义调整栏!G8="","",自定义调整栏!G8)</f>
        <v/>
      </c>
      <c r="I550" s="26" t="str">
        <f>IF(自定义调整栏!H8="","",自定义调整栏!H8)</f>
        <v/>
      </c>
      <c r="J550" s="26" t="str">
        <f>IF(自定义调整栏!I8="","",自定义调整栏!I8)</f>
        <v/>
      </c>
      <c r="K550" s="29" t="str">
        <f>IF(自定义调整栏!J8="","",自定义调整栏!J8)</f>
        <v/>
      </c>
      <c r="L550" s="30" t="str">
        <f>IF(自定义调整栏!K8="","",自定义调整栏!K8)</f>
        <v/>
      </c>
      <c r="M550" s="31" t="str">
        <f>IF(自定义调整栏!L8="","",自定义调整栏!L8)</f>
        <v/>
      </c>
      <c r="N550" s="29" t="s">
        <v>4198</v>
      </c>
      <c r="Z550" s="27" t="s">
        <v>4199</v>
      </c>
    </row>
    <row r="551" spans="1:26" ht="16.95" customHeight="1" x14ac:dyDescent="0.25">
      <c r="A551" s="98" t="str">
        <f>IF(自定义调整栏!C9="","",自定义调整栏!C9)</f>
        <v/>
      </c>
      <c r="B551" s="26" t="str">
        <f>IF(自定义调整栏!C9="","",IF(自定义调整栏!B9="戏法",0,自定义调整栏!B9))</f>
        <v/>
      </c>
      <c r="C551" s="26" t="str">
        <f>IF(自定义调整栏!C9="","",自定义调整栏!E9)</f>
        <v/>
      </c>
      <c r="D551" s="26" t="str">
        <f>IF(自定义调整栏!N9="","",自定义调整栏!N9)</f>
        <v/>
      </c>
      <c r="E551" s="26" t="str">
        <f>IF(自定义调整栏!M9="","",自定义调整栏!M9)</f>
        <v/>
      </c>
      <c r="F551" s="28" t="str">
        <f>IF(自定义调整栏!F9="","",自定义调整栏!F9)</f>
        <v/>
      </c>
      <c r="G551" s="26" t="str">
        <f>IF(自定义调整栏!D9="","",自定义调整栏!D9)</f>
        <v/>
      </c>
      <c r="H551" s="26" t="str">
        <f>IF(自定义调整栏!G9="","",自定义调整栏!G9)</f>
        <v/>
      </c>
      <c r="I551" s="26" t="str">
        <f>IF(自定义调整栏!H9="","",自定义调整栏!H9)</f>
        <v/>
      </c>
      <c r="J551" s="26" t="str">
        <f>IF(自定义调整栏!I9="","",自定义调整栏!I9)</f>
        <v/>
      </c>
      <c r="K551" s="29" t="str">
        <f>IF(自定义调整栏!J9="","",自定义调整栏!J9)</f>
        <v/>
      </c>
      <c r="L551" s="30" t="str">
        <f>IF(自定义调整栏!K9="","",自定义调整栏!K9)</f>
        <v/>
      </c>
      <c r="M551" s="31" t="str">
        <f>IF(自定义调整栏!L9="","",自定义调整栏!L9)</f>
        <v/>
      </c>
      <c r="N551" s="29" t="s">
        <v>4198</v>
      </c>
      <c r="Z551" s="27" t="s">
        <v>4199</v>
      </c>
    </row>
    <row r="552" spans="1:26" ht="16.95" customHeight="1" x14ac:dyDescent="0.25">
      <c r="A552" s="98" t="str">
        <f>IF(自定义调整栏!C10="","",自定义调整栏!C10)</f>
        <v/>
      </c>
      <c r="B552" s="26" t="str">
        <f>IF(自定义调整栏!C10="","",IF(自定义调整栏!B10="戏法",0,自定义调整栏!B10))</f>
        <v/>
      </c>
      <c r="C552" s="26" t="str">
        <f>IF(自定义调整栏!C10="","",自定义调整栏!E10)</f>
        <v/>
      </c>
      <c r="D552" s="26" t="str">
        <f>IF(自定义调整栏!N10="","",自定义调整栏!N10)</f>
        <v/>
      </c>
      <c r="E552" s="26" t="str">
        <f>IF(自定义调整栏!M10="","",自定义调整栏!M10)</f>
        <v/>
      </c>
      <c r="F552" s="28" t="str">
        <f>IF(自定义调整栏!F10="","",自定义调整栏!F10)</f>
        <v/>
      </c>
      <c r="G552" s="26" t="str">
        <f>IF(自定义调整栏!D10="","",自定义调整栏!D10)</f>
        <v/>
      </c>
      <c r="H552" s="26" t="str">
        <f>IF(自定义调整栏!G10="","",自定义调整栏!G10)</f>
        <v/>
      </c>
      <c r="I552" s="26" t="str">
        <f>IF(自定义调整栏!H10="","",自定义调整栏!H10)</f>
        <v/>
      </c>
      <c r="J552" s="26" t="str">
        <f>IF(自定义调整栏!I10="","",自定义调整栏!I10)</f>
        <v/>
      </c>
      <c r="K552" s="29" t="str">
        <f>IF(自定义调整栏!J10="","",自定义调整栏!J10)</f>
        <v/>
      </c>
      <c r="L552" s="30" t="str">
        <f>IF(自定义调整栏!K10="","",自定义调整栏!K10)</f>
        <v/>
      </c>
      <c r="M552" s="31" t="str">
        <f>IF(自定义调整栏!L10="","",自定义调整栏!L10)</f>
        <v/>
      </c>
      <c r="N552" s="29" t="s">
        <v>4198</v>
      </c>
      <c r="Z552" s="27" t="s">
        <v>4199</v>
      </c>
    </row>
    <row r="553" spans="1:26" ht="16.95" customHeight="1" x14ac:dyDescent="0.25">
      <c r="A553" s="98" t="str">
        <f>IF(自定义调整栏!C11="","",自定义调整栏!C11)</f>
        <v/>
      </c>
      <c r="B553" s="26" t="str">
        <f>IF(自定义调整栏!C11="","",IF(自定义调整栏!B11="戏法",0,自定义调整栏!B11))</f>
        <v/>
      </c>
      <c r="C553" s="26" t="str">
        <f>IF(自定义调整栏!C11="","",自定义调整栏!E11)</f>
        <v/>
      </c>
      <c r="D553" s="26" t="str">
        <f>IF(自定义调整栏!N11="","",自定义调整栏!N11)</f>
        <v/>
      </c>
      <c r="E553" s="26" t="str">
        <f>IF(自定义调整栏!M11="","",自定义调整栏!M11)</f>
        <v/>
      </c>
      <c r="F553" s="28" t="str">
        <f>IF(自定义调整栏!F11="","",自定义调整栏!F11)</f>
        <v/>
      </c>
      <c r="G553" s="26" t="str">
        <f>IF(自定义调整栏!D11="","",自定义调整栏!D11)</f>
        <v/>
      </c>
      <c r="H553" s="26" t="str">
        <f>IF(自定义调整栏!G11="","",自定义调整栏!G11)</f>
        <v/>
      </c>
      <c r="I553" s="26" t="str">
        <f>IF(自定义调整栏!H11="","",自定义调整栏!H11)</f>
        <v/>
      </c>
      <c r="J553" s="26" t="str">
        <f>IF(自定义调整栏!I11="","",自定义调整栏!I11)</f>
        <v/>
      </c>
      <c r="K553" s="29" t="str">
        <f>IF(自定义调整栏!J11="","",自定义调整栏!J11)</f>
        <v/>
      </c>
      <c r="L553" s="30" t="str">
        <f>IF(自定义调整栏!K11="","",自定义调整栏!K11)</f>
        <v/>
      </c>
      <c r="M553" s="31" t="str">
        <f>IF(自定义调整栏!L11="","",自定义调整栏!L11)</f>
        <v/>
      </c>
      <c r="N553" s="29" t="s">
        <v>4198</v>
      </c>
      <c r="Z553" s="27" t="s">
        <v>4199</v>
      </c>
    </row>
    <row r="554" spans="1:26" ht="16.95" customHeight="1" x14ac:dyDescent="0.25">
      <c r="A554" s="98" t="str">
        <f>IF(自定义调整栏!C12="","",自定义调整栏!C12)</f>
        <v/>
      </c>
      <c r="B554" s="26" t="str">
        <f>IF(自定义调整栏!C12="","",IF(自定义调整栏!B12="戏法",0,自定义调整栏!B12))</f>
        <v/>
      </c>
      <c r="C554" s="26" t="str">
        <f>IF(自定义调整栏!C12="","",自定义调整栏!E12)</f>
        <v/>
      </c>
      <c r="D554" s="26" t="str">
        <f>IF(自定义调整栏!N12="","",自定义调整栏!N12)</f>
        <v/>
      </c>
      <c r="E554" s="26" t="str">
        <f>IF(自定义调整栏!M12="","",自定义调整栏!M12)</f>
        <v/>
      </c>
      <c r="F554" s="28" t="str">
        <f>IF(自定义调整栏!F12="","",自定义调整栏!F12)</f>
        <v/>
      </c>
      <c r="G554" s="26" t="str">
        <f>IF(自定义调整栏!D12="","",自定义调整栏!D12)</f>
        <v/>
      </c>
      <c r="H554" s="26" t="str">
        <f>IF(自定义调整栏!G12="","",自定义调整栏!G12)</f>
        <v/>
      </c>
      <c r="I554" s="26" t="str">
        <f>IF(自定义调整栏!H12="","",自定义调整栏!H12)</f>
        <v/>
      </c>
      <c r="J554" s="26" t="str">
        <f>IF(自定义调整栏!I12="","",自定义调整栏!I12)</f>
        <v/>
      </c>
      <c r="K554" s="29" t="str">
        <f>IF(自定义调整栏!J12="","",自定义调整栏!J12)</f>
        <v/>
      </c>
      <c r="L554" s="30" t="str">
        <f>IF(自定义调整栏!K12="","",自定义调整栏!K12)</f>
        <v/>
      </c>
      <c r="M554" s="31" t="str">
        <f>IF(自定义调整栏!L12="","",自定义调整栏!L12)</f>
        <v/>
      </c>
      <c r="N554" s="29" t="s">
        <v>4198</v>
      </c>
      <c r="Z554" s="27" t="s">
        <v>4199</v>
      </c>
    </row>
    <row r="555" spans="1:26" ht="16.95" customHeight="1" x14ac:dyDescent="0.25">
      <c r="A555" s="98" t="str">
        <f>IF(自定义调整栏!C13="","",自定义调整栏!C13)</f>
        <v/>
      </c>
      <c r="B555" s="26" t="str">
        <f>IF(自定义调整栏!C13="","",IF(自定义调整栏!B13="戏法",0,自定义调整栏!B13))</f>
        <v/>
      </c>
      <c r="C555" s="26" t="str">
        <f>IF(自定义调整栏!C13="","",自定义调整栏!E13)</f>
        <v/>
      </c>
      <c r="D555" s="26" t="str">
        <f>IF(自定义调整栏!N13="","",自定义调整栏!N13)</f>
        <v/>
      </c>
      <c r="E555" s="26" t="str">
        <f>IF(自定义调整栏!M13="","",自定义调整栏!M13)</f>
        <v/>
      </c>
      <c r="F555" s="28" t="str">
        <f>IF(自定义调整栏!F13="","",自定义调整栏!F13)</f>
        <v/>
      </c>
      <c r="G555" s="26" t="str">
        <f>IF(自定义调整栏!D13="","",自定义调整栏!D13)</f>
        <v/>
      </c>
      <c r="H555" s="26" t="str">
        <f>IF(自定义调整栏!G13="","",自定义调整栏!G13)</f>
        <v/>
      </c>
      <c r="I555" s="26" t="str">
        <f>IF(自定义调整栏!H13="","",自定义调整栏!H13)</f>
        <v/>
      </c>
      <c r="J555" s="26" t="str">
        <f>IF(自定义调整栏!I13="","",自定义调整栏!I13)</f>
        <v/>
      </c>
      <c r="K555" s="29" t="str">
        <f>IF(自定义调整栏!J13="","",自定义调整栏!J13)</f>
        <v/>
      </c>
      <c r="L555" s="30" t="str">
        <f>IF(自定义调整栏!K13="","",自定义调整栏!K13)</f>
        <v/>
      </c>
      <c r="M555" s="31" t="str">
        <f>IF(自定义调整栏!L13="","",自定义调整栏!L13)</f>
        <v/>
      </c>
      <c r="N555" s="29" t="s">
        <v>4198</v>
      </c>
      <c r="Z555" s="27" t="s">
        <v>4199</v>
      </c>
    </row>
    <row r="556" spans="1:26" ht="16.95" customHeight="1" x14ac:dyDescent="0.25">
      <c r="A556" s="98" t="str">
        <f>IF(自定义调整栏!C14="","",自定义调整栏!C14)</f>
        <v/>
      </c>
      <c r="B556" s="26" t="str">
        <f>IF(自定义调整栏!C14="","",IF(自定义调整栏!B14="戏法",0,自定义调整栏!B14))</f>
        <v/>
      </c>
      <c r="C556" s="26" t="str">
        <f>IF(自定义调整栏!C14="","",自定义调整栏!E14)</f>
        <v/>
      </c>
      <c r="D556" s="26" t="str">
        <f>IF(自定义调整栏!N14="","",自定义调整栏!N14)</f>
        <v/>
      </c>
      <c r="E556" s="26" t="str">
        <f>IF(自定义调整栏!M14="","",自定义调整栏!M14)</f>
        <v/>
      </c>
      <c r="F556" s="28" t="str">
        <f>IF(自定义调整栏!F14="","",自定义调整栏!F14)</f>
        <v/>
      </c>
      <c r="G556" s="26" t="str">
        <f>IF(自定义调整栏!D14="","",自定义调整栏!D14)</f>
        <v/>
      </c>
      <c r="H556" s="26" t="str">
        <f>IF(自定义调整栏!G14="","",自定义调整栏!G14)</f>
        <v/>
      </c>
      <c r="I556" s="26" t="str">
        <f>IF(自定义调整栏!H14="","",自定义调整栏!H14)</f>
        <v/>
      </c>
      <c r="J556" s="26" t="str">
        <f>IF(自定义调整栏!I14="","",自定义调整栏!I14)</f>
        <v/>
      </c>
      <c r="K556" s="29" t="str">
        <f>IF(自定义调整栏!J14="","",自定义调整栏!J14)</f>
        <v/>
      </c>
      <c r="L556" s="30" t="str">
        <f>IF(自定义调整栏!K14="","",自定义调整栏!K14)</f>
        <v/>
      </c>
      <c r="M556" s="31" t="str">
        <f>IF(自定义调整栏!L14="","",自定义调整栏!L14)</f>
        <v/>
      </c>
      <c r="N556" s="29" t="s">
        <v>4198</v>
      </c>
      <c r="Z556" s="27" t="s">
        <v>4199</v>
      </c>
    </row>
    <row r="557" spans="1:26" ht="16.95" customHeight="1" x14ac:dyDescent="0.25">
      <c r="A557" s="98" t="str">
        <f>IF(自定义调整栏!C15="","",自定义调整栏!C15)</f>
        <v/>
      </c>
      <c r="B557" s="26" t="str">
        <f>IF(自定义调整栏!C15="","",IF(自定义调整栏!B15="戏法",0,自定义调整栏!B15))</f>
        <v/>
      </c>
      <c r="C557" s="26" t="str">
        <f>IF(自定义调整栏!C15="","",自定义调整栏!E15)</f>
        <v/>
      </c>
      <c r="D557" s="26" t="str">
        <f>IF(自定义调整栏!N15="","",自定义调整栏!N15)</f>
        <v/>
      </c>
      <c r="E557" s="26" t="str">
        <f>IF(自定义调整栏!M15="","",自定义调整栏!M15)</f>
        <v/>
      </c>
      <c r="F557" s="28" t="str">
        <f>IF(自定义调整栏!F15="","",自定义调整栏!F15)</f>
        <v/>
      </c>
      <c r="G557" s="26" t="str">
        <f>IF(自定义调整栏!D15="","",自定义调整栏!D15)</f>
        <v/>
      </c>
      <c r="H557" s="26" t="str">
        <f>IF(自定义调整栏!G15="","",自定义调整栏!G15)</f>
        <v/>
      </c>
      <c r="I557" s="26" t="str">
        <f>IF(自定义调整栏!H15="","",自定义调整栏!H15)</f>
        <v/>
      </c>
      <c r="J557" s="26" t="str">
        <f>IF(自定义调整栏!I15="","",自定义调整栏!I15)</f>
        <v/>
      </c>
      <c r="K557" s="29" t="str">
        <f>IF(自定义调整栏!J15="","",自定义调整栏!J15)</f>
        <v/>
      </c>
      <c r="L557" s="30" t="str">
        <f>IF(自定义调整栏!K15="","",自定义调整栏!K15)</f>
        <v/>
      </c>
      <c r="M557" s="31" t="str">
        <f>IF(自定义调整栏!L15="","",自定义调整栏!L15)</f>
        <v/>
      </c>
      <c r="N557" s="29" t="s">
        <v>4198</v>
      </c>
      <c r="Z557" s="27" t="s">
        <v>4199</v>
      </c>
    </row>
    <row r="558" spans="1:26" ht="16.95" customHeight="1" x14ac:dyDescent="0.25">
      <c r="A558" s="98" t="str">
        <f>IF(自定义调整栏!C16="","",自定义调整栏!C16)</f>
        <v/>
      </c>
      <c r="B558" s="26" t="str">
        <f>IF(自定义调整栏!C16="","",IF(自定义调整栏!B16="戏法",0,自定义调整栏!B16))</f>
        <v/>
      </c>
      <c r="C558" s="26" t="str">
        <f>IF(自定义调整栏!C16="","",自定义调整栏!E16)</f>
        <v/>
      </c>
      <c r="D558" s="26" t="str">
        <f>IF(自定义调整栏!N16="","",自定义调整栏!N16)</f>
        <v/>
      </c>
      <c r="E558" s="26" t="str">
        <f>IF(自定义调整栏!M16="","",自定义调整栏!M16)</f>
        <v/>
      </c>
      <c r="F558" s="28" t="str">
        <f>IF(自定义调整栏!F16="","",自定义调整栏!F16)</f>
        <v/>
      </c>
      <c r="G558" s="26" t="str">
        <f>IF(自定义调整栏!D16="","",自定义调整栏!D16)</f>
        <v/>
      </c>
      <c r="H558" s="26" t="str">
        <f>IF(自定义调整栏!G16="","",自定义调整栏!G16)</f>
        <v/>
      </c>
      <c r="I558" s="26" t="str">
        <f>IF(自定义调整栏!H16="","",自定义调整栏!H16)</f>
        <v/>
      </c>
      <c r="J558" s="26" t="str">
        <f>IF(自定义调整栏!I16="","",自定义调整栏!I16)</f>
        <v/>
      </c>
      <c r="K558" s="29" t="str">
        <f>IF(自定义调整栏!J16="","",自定义调整栏!J16)</f>
        <v/>
      </c>
      <c r="L558" s="30" t="str">
        <f>IF(自定义调整栏!K16="","",自定义调整栏!K16)</f>
        <v/>
      </c>
      <c r="M558" s="31" t="str">
        <f>IF(自定义调整栏!L16="","",自定义调整栏!L16)</f>
        <v/>
      </c>
      <c r="N558" s="29" t="s">
        <v>4198</v>
      </c>
      <c r="Z558" s="27" t="s">
        <v>4199</v>
      </c>
    </row>
    <row r="559" spans="1:26" ht="16.95" customHeight="1" x14ac:dyDescent="0.25">
      <c r="A559" s="98" t="str">
        <f>IF(自定义调整栏!C17="","",自定义调整栏!C17)</f>
        <v/>
      </c>
      <c r="B559" s="26" t="str">
        <f>IF(自定义调整栏!C17="","",IF(自定义调整栏!B17="戏法",0,自定义调整栏!B17))</f>
        <v/>
      </c>
      <c r="C559" s="26" t="str">
        <f>IF(自定义调整栏!C17="","",自定义调整栏!E17)</f>
        <v/>
      </c>
      <c r="D559" s="26" t="str">
        <f>IF(自定义调整栏!N17="","",自定义调整栏!N17)</f>
        <v/>
      </c>
      <c r="E559" s="26" t="str">
        <f>IF(自定义调整栏!M17="","",自定义调整栏!M17)</f>
        <v/>
      </c>
      <c r="F559" s="28" t="str">
        <f>IF(自定义调整栏!F17="","",自定义调整栏!F17)</f>
        <v/>
      </c>
      <c r="G559" s="26" t="str">
        <f>IF(自定义调整栏!D17="","",自定义调整栏!D17)</f>
        <v/>
      </c>
      <c r="H559" s="26" t="str">
        <f>IF(自定义调整栏!G17="","",自定义调整栏!G17)</f>
        <v/>
      </c>
      <c r="I559" s="26" t="str">
        <f>IF(自定义调整栏!H17="","",自定义调整栏!H17)</f>
        <v/>
      </c>
      <c r="J559" s="26" t="str">
        <f>IF(自定义调整栏!I17="","",自定义调整栏!I17)</f>
        <v/>
      </c>
      <c r="K559" s="29" t="str">
        <f>IF(自定义调整栏!J17="","",自定义调整栏!J17)</f>
        <v/>
      </c>
      <c r="L559" s="30" t="str">
        <f>IF(自定义调整栏!K17="","",自定义调整栏!K17)</f>
        <v/>
      </c>
      <c r="M559" s="31" t="str">
        <f>IF(自定义调整栏!L17="","",自定义调整栏!L17)</f>
        <v/>
      </c>
      <c r="N559" s="29" t="s">
        <v>4198</v>
      </c>
      <c r="Z559" s="27" t="s">
        <v>4199</v>
      </c>
    </row>
    <row r="560" spans="1:26" ht="16.95" customHeight="1" x14ac:dyDescent="0.25">
      <c r="A560" s="98" t="str">
        <f>IF(自定义调整栏!C18="","",自定义调整栏!C18)</f>
        <v/>
      </c>
      <c r="B560" s="26" t="str">
        <f>IF(自定义调整栏!C18="","",IF(自定义调整栏!B18="戏法",0,自定义调整栏!B18))</f>
        <v/>
      </c>
      <c r="C560" s="26" t="str">
        <f>IF(自定义调整栏!C18="","",自定义调整栏!E18)</f>
        <v/>
      </c>
      <c r="D560" s="26" t="str">
        <f>IF(自定义调整栏!N18="","",自定义调整栏!N18)</f>
        <v/>
      </c>
      <c r="E560" s="26" t="str">
        <f>IF(自定义调整栏!M18="","",自定义调整栏!M18)</f>
        <v/>
      </c>
      <c r="F560" s="28" t="str">
        <f>IF(自定义调整栏!F18="","",自定义调整栏!F18)</f>
        <v/>
      </c>
      <c r="G560" s="26" t="str">
        <f>IF(自定义调整栏!D18="","",自定义调整栏!D18)</f>
        <v/>
      </c>
      <c r="H560" s="26" t="str">
        <f>IF(自定义调整栏!G18="","",自定义调整栏!G18)</f>
        <v/>
      </c>
      <c r="I560" s="26" t="str">
        <f>IF(自定义调整栏!H18="","",自定义调整栏!H18)</f>
        <v/>
      </c>
      <c r="J560" s="26" t="str">
        <f>IF(自定义调整栏!I18="","",自定义调整栏!I18)</f>
        <v/>
      </c>
      <c r="K560" s="29" t="str">
        <f>IF(自定义调整栏!J18="","",自定义调整栏!J18)</f>
        <v/>
      </c>
      <c r="L560" s="30" t="str">
        <f>IF(自定义调整栏!K18="","",自定义调整栏!K18)</f>
        <v/>
      </c>
      <c r="M560" s="31" t="str">
        <f>IF(自定义调整栏!L18="","",自定义调整栏!L18)</f>
        <v/>
      </c>
      <c r="N560" s="29" t="s">
        <v>4198</v>
      </c>
      <c r="Z560" s="27" t="s">
        <v>4199</v>
      </c>
    </row>
    <row r="561" spans="1:26" ht="16.95" customHeight="1" x14ac:dyDescent="0.25">
      <c r="A561" s="98" t="str">
        <f>IF(自定义调整栏!C19="","",自定义调整栏!C19)</f>
        <v/>
      </c>
      <c r="B561" s="26" t="str">
        <f>IF(自定义调整栏!C19="","",IF(自定义调整栏!B19="戏法",0,自定义调整栏!B19))</f>
        <v/>
      </c>
      <c r="C561" s="26" t="str">
        <f>IF(自定义调整栏!C19="","",自定义调整栏!E19)</f>
        <v/>
      </c>
      <c r="D561" s="26" t="str">
        <f>IF(自定义调整栏!N19="","",自定义调整栏!N19)</f>
        <v/>
      </c>
      <c r="E561" s="26" t="str">
        <f>IF(自定义调整栏!M19="","",自定义调整栏!M19)</f>
        <v/>
      </c>
      <c r="F561" s="28" t="str">
        <f>IF(自定义调整栏!F19="","",自定义调整栏!F19)</f>
        <v/>
      </c>
      <c r="G561" s="26" t="str">
        <f>IF(自定义调整栏!D19="","",自定义调整栏!D19)</f>
        <v/>
      </c>
      <c r="H561" s="26" t="str">
        <f>IF(自定义调整栏!G19="","",自定义调整栏!G19)</f>
        <v/>
      </c>
      <c r="I561" s="26" t="str">
        <f>IF(自定义调整栏!H19="","",自定义调整栏!H19)</f>
        <v/>
      </c>
      <c r="J561" s="26" t="str">
        <f>IF(自定义调整栏!I19="","",自定义调整栏!I19)</f>
        <v/>
      </c>
      <c r="K561" s="29" t="str">
        <f>IF(自定义调整栏!J19="","",自定义调整栏!J19)</f>
        <v/>
      </c>
      <c r="L561" s="30" t="str">
        <f>IF(自定义调整栏!K19="","",自定义调整栏!K19)</f>
        <v/>
      </c>
      <c r="M561" s="31" t="str">
        <f>IF(自定义调整栏!L19="","",自定义调整栏!L19)</f>
        <v/>
      </c>
      <c r="N561" s="29" t="s">
        <v>4198</v>
      </c>
      <c r="Z561" s="27" t="s">
        <v>4199</v>
      </c>
    </row>
    <row r="562" spans="1:26" ht="16.95" customHeight="1" x14ac:dyDescent="0.25">
      <c r="A562" s="98" t="str">
        <f>IF(自定义调整栏!C20="","",自定义调整栏!C20)</f>
        <v/>
      </c>
      <c r="B562" s="26" t="str">
        <f>IF(自定义调整栏!C20="","",IF(自定义调整栏!B20="戏法",0,自定义调整栏!B20))</f>
        <v/>
      </c>
      <c r="C562" s="26" t="str">
        <f>IF(自定义调整栏!C20="","",自定义调整栏!E20)</f>
        <v/>
      </c>
      <c r="D562" s="26" t="str">
        <f>IF(自定义调整栏!N20="","",自定义调整栏!N20)</f>
        <v/>
      </c>
      <c r="E562" s="26" t="str">
        <f>IF(自定义调整栏!M20="","",自定义调整栏!M20)</f>
        <v/>
      </c>
      <c r="F562" s="28" t="str">
        <f>IF(自定义调整栏!F20="","",自定义调整栏!F20)</f>
        <v/>
      </c>
      <c r="G562" s="26" t="str">
        <f>IF(自定义调整栏!D20="","",自定义调整栏!D20)</f>
        <v/>
      </c>
      <c r="H562" s="26" t="str">
        <f>IF(自定义调整栏!G20="","",自定义调整栏!G20)</f>
        <v/>
      </c>
      <c r="I562" s="26" t="str">
        <f>IF(自定义调整栏!H20="","",自定义调整栏!H20)</f>
        <v/>
      </c>
      <c r="J562" s="26" t="str">
        <f>IF(自定义调整栏!I20="","",自定义调整栏!I20)</f>
        <v/>
      </c>
      <c r="K562" s="29" t="str">
        <f>IF(自定义调整栏!J20="","",自定义调整栏!J20)</f>
        <v/>
      </c>
      <c r="L562" s="30" t="str">
        <f>IF(自定义调整栏!K20="","",自定义调整栏!K20)</f>
        <v/>
      </c>
      <c r="M562" s="31" t="str">
        <f>IF(自定义调整栏!L20="","",自定义调整栏!L20)</f>
        <v/>
      </c>
      <c r="N562" s="29" t="s">
        <v>4198</v>
      </c>
      <c r="Z562" s="27" t="s">
        <v>4199</v>
      </c>
    </row>
    <row r="563" spans="1:26" ht="16.95" customHeight="1" x14ac:dyDescent="0.25">
      <c r="A563" s="98" t="str">
        <f>IF(自定义调整栏!C21="","",自定义调整栏!C21)</f>
        <v/>
      </c>
      <c r="B563" s="26" t="str">
        <f>IF(自定义调整栏!C21="","",IF(自定义调整栏!B21="戏法",0,自定义调整栏!B21))</f>
        <v/>
      </c>
      <c r="C563" s="26" t="str">
        <f>IF(自定义调整栏!C21="","",自定义调整栏!E21)</f>
        <v/>
      </c>
      <c r="D563" s="26" t="str">
        <f>IF(自定义调整栏!N21="","",自定义调整栏!N21)</f>
        <v/>
      </c>
      <c r="E563" s="26" t="str">
        <f>IF(自定义调整栏!M21="","",自定义调整栏!M21)</f>
        <v/>
      </c>
      <c r="F563" s="28" t="str">
        <f>IF(自定义调整栏!F21="","",自定义调整栏!F21)</f>
        <v/>
      </c>
      <c r="G563" s="26" t="str">
        <f>IF(自定义调整栏!D21="","",自定义调整栏!D21)</f>
        <v/>
      </c>
      <c r="H563" s="26" t="str">
        <f>IF(自定义调整栏!G21="","",自定义调整栏!G21)</f>
        <v/>
      </c>
      <c r="I563" s="26" t="str">
        <f>IF(自定义调整栏!H21="","",自定义调整栏!H21)</f>
        <v/>
      </c>
      <c r="J563" s="26" t="str">
        <f>IF(自定义调整栏!I21="","",自定义调整栏!I21)</f>
        <v/>
      </c>
      <c r="K563" s="29" t="str">
        <f>IF(自定义调整栏!J21="","",自定义调整栏!J21)</f>
        <v/>
      </c>
      <c r="L563" s="30" t="str">
        <f>IF(自定义调整栏!K21="","",自定义调整栏!K21)</f>
        <v/>
      </c>
      <c r="M563" s="31" t="str">
        <f>IF(自定义调整栏!L21="","",自定义调整栏!L21)</f>
        <v/>
      </c>
      <c r="N563" s="29" t="s">
        <v>4198</v>
      </c>
      <c r="Z563" s="27" t="s">
        <v>4199</v>
      </c>
    </row>
    <row r="564" spans="1:26" ht="16.95" customHeight="1" x14ac:dyDescent="0.25">
      <c r="A564" s="98" t="str">
        <f>IF(自定义调整栏!C22="","",自定义调整栏!C22)</f>
        <v/>
      </c>
      <c r="B564" s="26" t="str">
        <f>IF(自定义调整栏!C22="","",IF(自定义调整栏!B22="戏法",0,自定义调整栏!B22))</f>
        <v/>
      </c>
      <c r="C564" s="26" t="str">
        <f>IF(自定义调整栏!C22="","",自定义调整栏!E22)</f>
        <v/>
      </c>
      <c r="D564" s="26" t="str">
        <f>IF(自定义调整栏!N22="","",自定义调整栏!N22)</f>
        <v/>
      </c>
      <c r="E564" s="26" t="str">
        <f>IF(自定义调整栏!M22="","",自定义调整栏!M22)</f>
        <v/>
      </c>
      <c r="F564" s="28" t="str">
        <f>IF(自定义调整栏!F22="","",自定义调整栏!F22)</f>
        <v/>
      </c>
      <c r="G564" s="26" t="str">
        <f>IF(自定义调整栏!D22="","",自定义调整栏!D22)</f>
        <v/>
      </c>
      <c r="H564" s="26" t="str">
        <f>IF(自定义调整栏!G22="","",自定义调整栏!G22)</f>
        <v/>
      </c>
      <c r="I564" s="26" t="str">
        <f>IF(自定义调整栏!H22="","",自定义调整栏!H22)</f>
        <v/>
      </c>
      <c r="J564" s="26" t="str">
        <f>IF(自定义调整栏!I22="","",自定义调整栏!I22)</f>
        <v/>
      </c>
      <c r="K564" s="29" t="str">
        <f>IF(自定义调整栏!J22="","",自定义调整栏!J22)</f>
        <v/>
      </c>
      <c r="L564" s="30" t="str">
        <f>IF(自定义调整栏!K22="","",自定义调整栏!K22)</f>
        <v/>
      </c>
      <c r="M564" s="31" t="str">
        <f>IF(自定义调整栏!L22="","",自定义调整栏!L22)</f>
        <v/>
      </c>
      <c r="N564" s="29" t="s">
        <v>4198</v>
      </c>
      <c r="Z564" s="27" t="s">
        <v>4199</v>
      </c>
    </row>
    <row r="565" spans="1:26" ht="16.95" customHeight="1" x14ac:dyDescent="0.25">
      <c r="A565" s="98" t="str">
        <f>IF(自定义调整栏!C23="","",自定义调整栏!C23)</f>
        <v/>
      </c>
      <c r="B565" s="26" t="str">
        <f>IF(自定义调整栏!C23="","",IF(自定义调整栏!B23="戏法",0,自定义调整栏!B23))</f>
        <v/>
      </c>
      <c r="C565" s="26" t="str">
        <f>IF(自定义调整栏!C23="","",自定义调整栏!E23)</f>
        <v/>
      </c>
      <c r="D565" s="26" t="str">
        <f>IF(自定义调整栏!N23="","",自定义调整栏!N23)</f>
        <v/>
      </c>
      <c r="E565" s="26" t="str">
        <f>IF(自定义调整栏!M23="","",自定义调整栏!M23)</f>
        <v/>
      </c>
      <c r="F565" s="28" t="str">
        <f>IF(自定义调整栏!F23="","",自定义调整栏!F23)</f>
        <v/>
      </c>
      <c r="G565" s="26" t="str">
        <f>IF(自定义调整栏!D23="","",自定义调整栏!D23)</f>
        <v/>
      </c>
      <c r="H565" s="26" t="str">
        <f>IF(自定义调整栏!G23="","",自定义调整栏!G23)</f>
        <v/>
      </c>
      <c r="I565" s="26" t="str">
        <f>IF(自定义调整栏!H23="","",自定义调整栏!H23)</f>
        <v/>
      </c>
      <c r="J565" s="26" t="str">
        <f>IF(自定义调整栏!I23="","",自定义调整栏!I23)</f>
        <v/>
      </c>
      <c r="K565" s="29" t="str">
        <f>IF(自定义调整栏!J23="","",自定义调整栏!J23)</f>
        <v/>
      </c>
      <c r="L565" s="30" t="str">
        <f>IF(自定义调整栏!K23="","",自定义调整栏!K23)</f>
        <v/>
      </c>
      <c r="M565" s="31" t="str">
        <f>IF(自定义调整栏!L23="","",自定义调整栏!L23)</f>
        <v/>
      </c>
      <c r="N565" s="29" t="s">
        <v>4198</v>
      </c>
      <c r="Z565" s="27" t="s">
        <v>4199</v>
      </c>
    </row>
    <row r="566" spans="1:26" ht="16.95" customHeight="1" x14ac:dyDescent="0.25">
      <c r="A566" s="98" t="str">
        <f>IF(自定义调整栏!C24="","",自定义调整栏!C24)</f>
        <v/>
      </c>
      <c r="B566" s="26" t="str">
        <f>IF(自定义调整栏!C24="","",IF(自定义调整栏!B24="戏法",0,自定义调整栏!B24))</f>
        <v/>
      </c>
      <c r="C566" s="26" t="str">
        <f>IF(自定义调整栏!C24="","",自定义调整栏!E24)</f>
        <v/>
      </c>
      <c r="D566" s="26" t="str">
        <f>IF(自定义调整栏!N24="","",自定义调整栏!N24)</f>
        <v/>
      </c>
      <c r="E566" s="26" t="str">
        <f>IF(自定义调整栏!M24="","",自定义调整栏!M24)</f>
        <v/>
      </c>
      <c r="F566" s="28" t="str">
        <f>IF(自定义调整栏!F24="","",自定义调整栏!F24)</f>
        <v/>
      </c>
      <c r="G566" s="26" t="str">
        <f>IF(自定义调整栏!D24="","",自定义调整栏!D24)</f>
        <v/>
      </c>
      <c r="H566" s="26" t="str">
        <f>IF(自定义调整栏!G24="","",自定义调整栏!G24)</f>
        <v/>
      </c>
      <c r="I566" s="26" t="str">
        <f>IF(自定义调整栏!H24="","",自定义调整栏!H24)</f>
        <v/>
      </c>
      <c r="J566" s="26" t="str">
        <f>IF(自定义调整栏!I24="","",自定义调整栏!I24)</f>
        <v/>
      </c>
      <c r="K566" s="29" t="str">
        <f>IF(自定义调整栏!J24="","",自定义调整栏!J24)</f>
        <v/>
      </c>
      <c r="L566" s="30" t="str">
        <f>IF(自定义调整栏!K24="","",自定义调整栏!K24)</f>
        <v/>
      </c>
      <c r="M566" s="31" t="str">
        <f>IF(自定义调整栏!L24="","",自定义调整栏!L24)</f>
        <v/>
      </c>
      <c r="N566" s="29" t="s">
        <v>4198</v>
      </c>
      <c r="Z566" s="27" t="s">
        <v>4199</v>
      </c>
    </row>
    <row r="567" spans="1:26" ht="16.95" customHeight="1" x14ac:dyDescent="0.25">
      <c r="A567" s="98" t="str">
        <f>IF(自定义调整栏!C25="","",自定义调整栏!C25)</f>
        <v/>
      </c>
      <c r="B567" s="26" t="str">
        <f>IF(自定义调整栏!C25="","",IF(自定义调整栏!B25="戏法",0,自定义调整栏!B25))</f>
        <v/>
      </c>
      <c r="C567" s="26" t="str">
        <f>IF(自定义调整栏!C25="","",自定义调整栏!E25)</f>
        <v/>
      </c>
      <c r="D567" s="26" t="str">
        <f>IF(自定义调整栏!N25="","",自定义调整栏!N25)</f>
        <v/>
      </c>
      <c r="E567" s="26" t="str">
        <f>IF(自定义调整栏!M25="","",自定义调整栏!M25)</f>
        <v/>
      </c>
      <c r="F567" s="28" t="str">
        <f>IF(自定义调整栏!F25="","",自定义调整栏!F25)</f>
        <v/>
      </c>
      <c r="G567" s="26" t="str">
        <f>IF(自定义调整栏!D25="","",自定义调整栏!D25)</f>
        <v/>
      </c>
      <c r="H567" s="26" t="str">
        <f>IF(自定义调整栏!G25="","",自定义调整栏!G25)</f>
        <v/>
      </c>
      <c r="I567" s="26" t="str">
        <f>IF(自定义调整栏!H25="","",自定义调整栏!H25)</f>
        <v/>
      </c>
      <c r="J567" s="26" t="str">
        <f>IF(自定义调整栏!I25="","",自定义调整栏!I25)</f>
        <v/>
      </c>
      <c r="K567" s="29" t="str">
        <f>IF(自定义调整栏!J25="","",自定义调整栏!J25)</f>
        <v/>
      </c>
      <c r="L567" s="30" t="str">
        <f>IF(自定义调整栏!K25="","",自定义调整栏!K25)</f>
        <v/>
      </c>
      <c r="M567" s="31" t="str">
        <f>IF(自定义调整栏!L25="","",自定义调整栏!L25)</f>
        <v/>
      </c>
      <c r="N567" s="29" t="s">
        <v>4198</v>
      </c>
      <c r="Z567" s="27" t="s">
        <v>4199</v>
      </c>
    </row>
    <row r="568" spans="1:26" ht="16.95" customHeight="1" x14ac:dyDescent="0.25">
      <c r="A568" s="98" t="str">
        <f>IF(自定义调整栏!C26="","",自定义调整栏!C26)</f>
        <v/>
      </c>
      <c r="B568" s="26" t="str">
        <f>IF(自定义调整栏!C26="","",IF(自定义调整栏!B26="戏法",0,自定义调整栏!B26))</f>
        <v/>
      </c>
      <c r="C568" s="26" t="str">
        <f>IF(自定义调整栏!C26="","",自定义调整栏!E26)</f>
        <v/>
      </c>
      <c r="D568" s="26" t="str">
        <f>IF(自定义调整栏!N26="","",自定义调整栏!N26)</f>
        <v/>
      </c>
      <c r="E568" s="26" t="str">
        <f>IF(自定义调整栏!M26="","",自定义调整栏!M26)</f>
        <v/>
      </c>
      <c r="F568" s="28" t="str">
        <f>IF(自定义调整栏!F26="","",自定义调整栏!F26)</f>
        <v/>
      </c>
      <c r="G568" s="26" t="str">
        <f>IF(自定义调整栏!D26="","",自定义调整栏!D26)</f>
        <v/>
      </c>
      <c r="H568" s="26" t="str">
        <f>IF(自定义调整栏!G26="","",自定义调整栏!G26)</f>
        <v/>
      </c>
      <c r="I568" s="26" t="str">
        <f>IF(自定义调整栏!H26="","",自定义调整栏!H26)</f>
        <v/>
      </c>
      <c r="J568" s="26" t="str">
        <f>IF(自定义调整栏!I26="","",自定义调整栏!I26)</f>
        <v/>
      </c>
      <c r="K568" s="29" t="str">
        <f>IF(自定义调整栏!J26="","",自定义调整栏!J26)</f>
        <v/>
      </c>
      <c r="L568" s="30" t="str">
        <f>IF(自定义调整栏!K26="","",自定义调整栏!K26)</f>
        <v/>
      </c>
      <c r="M568" s="31" t="str">
        <f>IF(自定义调整栏!L26="","",自定义调整栏!L26)</f>
        <v/>
      </c>
      <c r="N568" s="29" t="s">
        <v>4198</v>
      </c>
      <c r="Z568" s="27" t="s">
        <v>4199</v>
      </c>
    </row>
    <row r="569" spans="1:26" ht="16.95" customHeight="1" x14ac:dyDescent="0.25">
      <c r="A569" s="98" t="str">
        <f>IF(自定义调整栏!C27="","",自定义调整栏!C27)</f>
        <v/>
      </c>
      <c r="B569" s="26" t="str">
        <f>IF(自定义调整栏!C27="","",IF(自定义调整栏!B27="戏法",0,自定义调整栏!B27))</f>
        <v/>
      </c>
      <c r="C569" s="26" t="str">
        <f>IF(自定义调整栏!C27="","",自定义调整栏!E27)</f>
        <v/>
      </c>
      <c r="D569" s="26" t="str">
        <f>IF(自定义调整栏!N27="","",自定义调整栏!N27)</f>
        <v/>
      </c>
      <c r="E569" s="26" t="str">
        <f>IF(自定义调整栏!M27="","",自定义调整栏!M27)</f>
        <v/>
      </c>
      <c r="F569" s="28" t="str">
        <f>IF(自定义调整栏!F27="","",自定义调整栏!F27)</f>
        <v/>
      </c>
      <c r="G569" s="26" t="str">
        <f>IF(自定义调整栏!D27="","",自定义调整栏!D27)</f>
        <v/>
      </c>
      <c r="H569" s="26" t="str">
        <f>IF(自定义调整栏!G27="","",自定义调整栏!G27)</f>
        <v/>
      </c>
      <c r="I569" s="26" t="str">
        <f>IF(自定义调整栏!H27="","",自定义调整栏!H27)</f>
        <v/>
      </c>
      <c r="J569" s="26" t="str">
        <f>IF(自定义调整栏!I27="","",自定义调整栏!I27)</f>
        <v/>
      </c>
      <c r="K569" s="29" t="str">
        <f>IF(自定义调整栏!J27="","",自定义调整栏!J27)</f>
        <v/>
      </c>
      <c r="L569" s="30" t="str">
        <f>IF(自定义调整栏!K27="","",自定义调整栏!K27)</f>
        <v/>
      </c>
      <c r="M569" s="31" t="str">
        <f>IF(自定义调整栏!L27="","",自定义调整栏!L27)</f>
        <v/>
      </c>
      <c r="N569" s="29" t="s">
        <v>4198</v>
      </c>
      <c r="Z569" s="27" t="s">
        <v>4199</v>
      </c>
    </row>
    <row r="570" spans="1:26" ht="16.95" customHeight="1" x14ac:dyDescent="0.25">
      <c r="A570" s="98" t="str">
        <f>IF(自定义调整栏!C28="","",自定义调整栏!C28)</f>
        <v/>
      </c>
      <c r="B570" s="26" t="str">
        <f>IF(自定义调整栏!C28="","",IF(自定义调整栏!B28="戏法",0,自定义调整栏!B28))</f>
        <v/>
      </c>
      <c r="C570" s="26" t="str">
        <f>IF(自定义调整栏!C28="","",自定义调整栏!E28)</f>
        <v/>
      </c>
      <c r="D570" s="26" t="str">
        <f>IF(自定义调整栏!N28="","",自定义调整栏!N28)</f>
        <v/>
      </c>
      <c r="E570" s="26" t="str">
        <f>IF(自定义调整栏!M28="","",自定义调整栏!M28)</f>
        <v/>
      </c>
      <c r="F570" s="28" t="str">
        <f>IF(自定义调整栏!F28="","",自定义调整栏!F28)</f>
        <v/>
      </c>
      <c r="G570" s="26" t="str">
        <f>IF(自定义调整栏!D28="","",自定义调整栏!D28)</f>
        <v/>
      </c>
      <c r="H570" s="26" t="str">
        <f>IF(自定义调整栏!G28="","",自定义调整栏!G28)</f>
        <v/>
      </c>
      <c r="I570" s="26" t="str">
        <f>IF(自定义调整栏!H28="","",自定义调整栏!H28)</f>
        <v/>
      </c>
      <c r="J570" s="26" t="str">
        <f>IF(自定义调整栏!I28="","",自定义调整栏!I28)</f>
        <v/>
      </c>
      <c r="K570" s="29" t="str">
        <f>IF(自定义调整栏!J28="","",自定义调整栏!J28)</f>
        <v/>
      </c>
      <c r="L570" s="30" t="str">
        <f>IF(自定义调整栏!K28="","",自定义调整栏!K28)</f>
        <v/>
      </c>
      <c r="M570" s="31" t="str">
        <f>IF(自定义调整栏!L28="","",自定义调整栏!L28)</f>
        <v/>
      </c>
      <c r="N570" s="29" t="s">
        <v>4198</v>
      </c>
      <c r="Z570" s="27" t="s">
        <v>4199</v>
      </c>
    </row>
    <row r="571" spans="1:26" ht="16.95" customHeight="1" x14ac:dyDescent="0.25">
      <c r="A571" s="98" t="str">
        <f>IF(自定义调整栏!C29="","",自定义调整栏!C29)</f>
        <v/>
      </c>
      <c r="B571" s="26" t="str">
        <f>IF(自定义调整栏!C29="","",IF(自定义调整栏!B29="戏法",0,自定义调整栏!B29))</f>
        <v/>
      </c>
      <c r="C571" s="26" t="str">
        <f>IF(自定义调整栏!C29="","",自定义调整栏!E29)</f>
        <v/>
      </c>
      <c r="D571" s="26" t="str">
        <f>IF(自定义调整栏!N29="","",自定义调整栏!N29)</f>
        <v/>
      </c>
      <c r="E571" s="26" t="str">
        <f>IF(自定义调整栏!M29="","",自定义调整栏!M29)</f>
        <v/>
      </c>
      <c r="F571" s="28" t="str">
        <f>IF(自定义调整栏!F29="","",自定义调整栏!F29)</f>
        <v/>
      </c>
      <c r="G571" s="26" t="str">
        <f>IF(自定义调整栏!D29="","",自定义调整栏!D29)</f>
        <v/>
      </c>
      <c r="H571" s="26" t="str">
        <f>IF(自定义调整栏!G29="","",自定义调整栏!G29)</f>
        <v/>
      </c>
      <c r="I571" s="26" t="str">
        <f>IF(自定义调整栏!H29="","",自定义调整栏!H29)</f>
        <v/>
      </c>
      <c r="J571" s="26" t="str">
        <f>IF(自定义调整栏!I29="","",自定义调整栏!I29)</f>
        <v/>
      </c>
      <c r="K571" s="29" t="str">
        <f>IF(自定义调整栏!J29="","",自定义调整栏!J29)</f>
        <v/>
      </c>
      <c r="L571" s="30" t="str">
        <f>IF(自定义调整栏!K29="","",自定义调整栏!K29)</f>
        <v/>
      </c>
      <c r="M571" s="31" t="str">
        <f>IF(自定义调整栏!L29="","",自定义调整栏!L29)</f>
        <v/>
      </c>
      <c r="N571" s="29" t="s">
        <v>4198</v>
      </c>
      <c r="Z571" s="27" t="s">
        <v>4199</v>
      </c>
    </row>
    <row r="572" spans="1:26" ht="16.95" customHeight="1" x14ac:dyDescent="0.25">
      <c r="A572" s="98" t="str">
        <f>IF(自定义调整栏!C30="","",自定义调整栏!C30)</f>
        <v/>
      </c>
      <c r="B572" s="26" t="str">
        <f>IF(自定义调整栏!C30="","",IF(自定义调整栏!B30="戏法",0,自定义调整栏!B30))</f>
        <v/>
      </c>
      <c r="C572" s="26" t="str">
        <f>IF(自定义调整栏!C30="","",自定义调整栏!E30)</f>
        <v/>
      </c>
      <c r="D572" s="26" t="str">
        <f>IF(自定义调整栏!N30="","",自定义调整栏!N30)</f>
        <v/>
      </c>
      <c r="E572" s="26" t="str">
        <f>IF(自定义调整栏!M30="","",自定义调整栏!M30)</f>
        <v/>
      </c>
      <c r="F572" s="28" t="str">
        <f>IF(自定义调整栏!F30="","",自定义调整栏!F30)</f>
        <v/>
      </c>
      <c r="G572" s="26" t="str">
        <f>IF(自定义调整栏!D30="","",自定义调整栏!D30)</f>
        <v/>
      </c>
      <c r="H572" s="26" t="str">
        <f>IF(自定义调整栏!G30="","",自定义调整栏!G30)</f>
        <v/>
      </c>
      <c r="I572" s="26" t="str">
        <f>IF(自定义调整栏!H30="","",自定义调整栏!H30)</f>
        <v/>
      </c>
      <c r="J572" s="26" t="str">
        <f>IF(自定义调整栏!I30="","",自定义调整栏!I30)</f>
        <v/>
      </c>
      <c r="K572" s="29" t="str">
        <f>IF(自定义调整栏!J30="","",自定义调整栏!J30)</f>
        <v/>
      </c>
      <c r="L572" s="30" t="str">
        <f>IF(自定义调整栏!K30="","",自定义调整栏!K30)</f>
        <v/>
      </c>
      <c r="M572" s="31" t="str">
        <f>IF(自定义调整栏!L30="","",自定义调整栏!L30)</f>
        <v/>
      </c>
      <c r="N572" s="29" t="s">
        <v>4198</v>
      </c>
      <c r="Z572" s="27" t="s">
        <v>4199</v>
      </c>
    </row>
    <row r="573" spans="1:26" ht="16.95" customHeight="1" x14ac:dyDescent="0.25">
      <c r="A573" s="98" t="str">
        <f>IF(自定义调整栏!C31="","",自定义调整栏!C31)</f>
        <v/>
      </c>
      <c r="B573" s="26" t="str">
        <f>IF(自定义调整栏!C31="","",IF(自定义调整栏!B31="戏法",0,自定义调整栏!B31))</f>
        <v/>
      </c>
      <c r="C573" s="26" t="str">
        <f>IF(自定义调整栏!C31="","",自定义调整栏!E31)</f>
        <v/>
      </c>
      <c r="D573" s="26" t="str">
        <f>IF(自定义调整栏!N31="","",自定义调整栏!N31)</f>
        <v/>
      </c>
      <c r="E573" s="26" t="str">
        <f>IF(自定义调整栏!M31="","",自定义调整栏!M31)</f>
        <v/>
      </c>
      <c r="F573" s="28" t="str">
        <f>IF(自定义调整栏!F31="","",自定义调整栏!F31)</f>
        <v/>
      </c>
      <c r="G573" s="26" t="str">
        <f>IF(自定义调整栏!D31="","",自定义调整栏!D31)</f>
        <v/>
      </c>
      <c r="H573" s="26" t="str">
        <f>IF(自定义调整栏!G31="","",自定义调整栏!G31)</f>
        <v/>
      </c>
      <c r="I573" s="26" t="str">
        <f>IF(自定义调整栏!H31="","",自定义调整栏!H31)</f>
        <v/>
      </c>
      <c r="J573" s="26" t="str">
        <f>IF(自定义调整栏!I31="","",自定义调整栏!I31)</f>
        <v/>
      </c>
      <c r="K573" s="29" t="str">
        <f>IF(自定义调整栏!J31="","",自定义调整栏!J31)</f>
        <v/>
      </c>
      <c r="L573" s="30" t="str">
        <f>IF(自定义调整栏!K31="","",自定义调整栏!K31)</f>
        <v/>
      </c>
      <c r="M573" s="31" t="str">
        <f>IF(自定义调整栏!L31="","",自定义调整栏!L31)</f>
        <v/>
      </c>
      <c r="N573" s="29" t="s">
        <v>4198</v>
      </c>
      <c r="Z573" s="27" t="s">
        <v>4199</v>
      </c>
    </row>
    <row r="574" spans="1:26" ht="16.95" customHeight="1" x14ac:dyDescent="0.25">
      <c r="A574" s="98" t="str">
        <f>IF(自定义调整栏!C32="","",自定义调整栏!C32)</f>
        <v/>
      </c>
      <c r="B574" s="26" t="str">
        <f>IF(自定义调整栏!C32="","",IF(自定义调整栏!B32="戏法",0,自定义调整栏!B32))</f>
        <v/>
      </c>
      <c r="C574" s="26" t="str">
        <f>IF(自定义调整栏!C32="","",自定义调整栏!E32)</f>
        <v/>
      </c>
      <c r="D574" s="26" t="str">
        <f>IF(自定义调整栏!N32="","",自定义调整栏!N32)</f>
        <v/>
      </c>
      <c r="E574" s="26" t="str">
        <f>IF(自定义调整栏!M32="","",自定义调整栏!M32)</f>
        <v/>
      </c>
      <c r="F574" s="28" t="str">
        <f>IF(自定义调整栏!F32="","",自定义调整栏!F32)</f>
        <v/>
      </c>
      <c r="G574" s="26" t="str">
        <f>IF(自定义调整栏!D32="","",自定义调整栏!D32)</f>
        <v/>
      </c>
      <c r="H574" s="26" t="str">
        <f>IF(自定义调整栏!G32="","",自定义调整栏!G32)</f>
        <v/>
      </c>
      <c r="I574" s="26" t="str">
        <f>IF(自定义调整栏!H32="","",自定义调整栏!H32)</f>
        <v/>
      </c>
      <c r="J574" s="26" t="str">
        <f>IF(自定义调整栏!I32="","",自定义调整栏!I32)</f>
        <v/>
      </c>
      <c r="K574" s="29" t="str">
        <f>IF(自定义调整栏!J32="","",自定义调整栏!J32)</f>
        <v/>
      </c>
      <c r="L574" s="30" t="str">
        <f>IF(自定义调整栏!K32="","",自定义调整栏!K32)</f>
        <v/>
      </c>
      <c r="M574" s="31" t="str">
        <f>IF(自定义调整栏!L32="","",自定义调整栏!L32)</f>
        <v/>
      </c>
      <c r="N574" s="29" t="s">
        <v>4198</v>
      </c>
      <c r="Z574" s="27" t="s">
        <v>4199</v>
      </c>
    </row>
    <row r="575" spans="1:26" ht="16.95" customHeight="1" x14ac:dyDescent="0.25">
      <c r="A575" s="98" t="str">
        <f>IF(自定义调整栏!C33="","",自定义调整栏!C33)</f>
        <v/>
      </c>
      <c r="B575" s="26" t="str">
        <f>IF(自定义调整栏!C33="","",IF(自定义调整栏!B33="戏法",0,自定义调整栏!B33))</f>
        <v/>
      </c>
      <c r="C575" s="26" t="str">
        <f>IF(自定义调整栏!C33="","",自定义调整栏!E33)</f>
        <v/>
      </c>
      <c r="D575" s="26" t="str">
        <f>IF(自定义调整栏!N33="","",自定义调整栏!N33)</f>
        <v/>
      </c>
      <c r="E575" s="26" t="str">
        <f>IF(自定义调整栏!M33="","",自定义调整栏!M33)</f>
        <v/>
      </c>
      <c r="F575" s="28" t="str">
        <f>IF(自定义调整栏!F33="","",自定义调整栏!F33)</f>
        <v/>
      </c>
      <c r="G575" s="26" t="str">
        <f>IF(自定义调整栏!D33="","",自定义调整栏!D33)</f>
        <v/>
      </c>
      <c r="H575" s="26" t="str">
        <f>IF(自定义调整栏!G33="","",自定义调整栏!G33)</f>
        <v/>
      </c>
      <c r="I575" s="26" t="str">
        <f>IF(自定义调整栏!H33="","",自定义调整栏!H33)</f>
        <v/>
      </c>
      <c r="J575" s="26" t="str">
        <f>IF(自定义调整栏!I33="","",自定义调整栏!I33)</f>
        <v/>
      </c>
      <c r="K575" s="29" t="str">
        <f>IF(自定义调整栏!J33="","",自定义调整栏!J33)</f>
        <v/>
      </c>
      <c r="L575" s="30" t="str">
        <f>IF(自定义调整栏!K33="","",自定义调整栏!K33)</f>
        <v/>
      </c>
      <c r="M575" s="31" t="str">
        <f>IF(自定义调整栏!L33="","",自定义调整栏!L33)</f>
        <v/>
      </c>
      <c r="N575" s="29" t="s">
        <v>4198</v>
      </c>
      <c r="Z575" s="27" t="s">
        <v>4199</v>
      </c>
    </row>
    <row r="576" spans="1:26" ht="16.95" customHeight="1" x14ac:dyDescent="0.25">
      <c r="A576" s="98" t="str">
        <f>IF(自定义调整栏!C34="","",自定义调整栏!C34)</f>
        <v/>
      </c>
      <c r="B576" s="26" t="str">
        <f>IF(自定义调整栏!C34="","",IF(自定义调整栏!B34="戏法",0,自定义调整栏!B34))</f>
        <v/>
      </c>
      <c r="C576" s="26" t="str">
        <f>IF(自定义调整栏!C34="","",自定义调整栏!E34)</f>
        <v/>
      </c>
      <c r="D576" s="26" t="str">
        <f>IF(自定义调整栏!N34="","",自定义调整栏!N34)</f>
        <v/>
      </c>
      <c r="E576" s="26" t="str">
        <f>IF(自定义调整栏!M34="","",自定义调整栏!M34)</f>
        <v/>
      </c>
      <c r="F576" s="28" t="str">
        <f>IF(自定义调整栏!F34="","",自定义调整栏!F34)</f>
        <v/>
      </c>
      <c r="G576" s="26" t="str">
        <f>IF(自定义调整栏!D34="","",自定义调整栏!D34)</f>
        <v/>
      </c>
      <c r="H576" s="26" t="str">
        <f>IF(自定义调整栏!G34="","",自定义调整栏!G34)</f>
        <v/>
      </c>
      <c r="I576" s="26" t="str">
        <f>IF(自定义调整栏!H34="","",自定义调整栏!H34)</f>
        <v/>
      </c>
      <c r="J576" s="26" t="str">
        <f>IF(自定义调整栏!I34="","",自定义调整栏!I34)</f>
        <v/>
      </c>
      <c r="K576" s="29" t="str">
        <f>IF(自定义调整栏!J34="","",自定义调整栏!J34)</f>
        <v/>
      </c>
      <c r="L576" s="30" t="str">
        <f>IF(自定义调整栏!K34="","",自定义调整栏!K34)</f>
        <v/>
      </c>
      <c r="M576" s="31" t="str">
        <f>IF(自定义调整栏!L34="","",自定义调整栏!L34)</f>
        <v/>
      </c>
      <c r="N576" s="29" t="s">
        <v>4198</v>
      </c>
      <c r="Z576" s="27" t="s">
        <v>4199</v>
      </c>
    </row>
    <row r="577" spans="1:26" ht="16.95" customHeight="1" x14ac:dyDescent="0.25">
      <c r="A577" s="98" t="str">
        <f>IF(自定义调整栏!C35="","",自定义调整栏!C35)</f>
        <v/>
      </c>
      <c r="B577" s="26" t="str">
        <f>IF(自定义调整栏!C35="","",IF(自定义调整栏!B35="戏法",0,自定义调整栏!B35))</f>
        <v/>
      </c>
      <c r="C577" s="26" t="str">
        <f>IF(自定义调整栏!C35="","",自定义调整栏!E35)</f>
        <v/>
      </c>
      <c r="D577" s="26" t="str">
        <f>IF(自定义调整栏!N35="","",自定义调整栏!N35)</f>
        <v/>
      </c>
      <c r="E577" s="26" t="str">
        <f>IF(自定义调整栏!M35="","",自定义调整栏!M35)</f>
        <v/>
      </c>
      <c r="F577" s="28" t="str">
        <f>IF(自定义调整栏!F35="","",自定义调整栏!F35)</f>
        <v/>
      </c>
      <c r="G577" s="26" t="str">
        <f>IF(自定义调整栏!D35="","",自定义调整栏!D35)</f>
        <v/>
      </c>
      <c r="H577" s="26" t="str">
        <f>IF(自定义调整栏!G35="","",自定义调整栏!G35)</f>
        <v/>
      </c>
      <c r="I577" s="26" t="str">
        <f>IF(自定义调整栏!H35="","",自定义调整栏!H35)</f>
        <v/>
      </c>
      <c r="J577" s="26" t="str">
        <f>IF(自定义调整栏!I35="","",自定义调整栏!I35)</f>
        <v/>
      </c>
      <c r="K577" s="29" t="str">
        <f>IF(自定义调整栏!J35="","",自定义调整栏!J35)</f>
        <v/>
      </c>
      <c r="L577" s="30" t="str">
        <f>IF(自定义调整栏!K35="","",自定义调整栏!K35)</f>
        <v/>
      </c>
      <c r="M577" s="31" t="str">
        <f>IF(自定义调整栏!L35="","",自定义调整栏!L35)</f>
        <v/>
      </c>
      <c r="N577" s="29" t="s">
        <v>4198</v>
      </c>
      <c r="Z577" s="27" t="s">
        <v>4199</v>
      </c>
    </row>
    <row r="578" spans="1:26" ht="16.95" customHeight="1" x14ac:dyDescent="0.25">
      <c r="A578" s="98" t="str">
        <f>IF(自定义调整栏!C36="","",自定义调整栏!C36)</f>
        <v/>
      </c>
      <c r="B578" s="26" t="str">
        <f>IF(自定义调整栏!C36="","",IF(自定义调整栏!B36="戏法",0,自定义调整栏!B36))</f>
        <v/>
      </c>
      <c r="C578" s="26" t="str">
        <f>IF(自定义调整栏!C36="","",自定义调整栏!E36)</f>
        <v/>
      </c>
      <c r="D578" s="26" t="str">
        <f>IF(自定义调整栏!N36="","",自定义调整栏!N36)</f>
        <v/>
      </c>
      <c r="E578" s="26" t="str">
        <f>IF(自定义调整栏!M36="","",自定义调整栏!M36)</f>
        <v/>
      </c>
      <c r="F578" s="28" t="str">
        <f>IF(自定义调整栏!F36="","",自定义调整栏!F36)</f>
        <v/>
      </c>
      <c r="G578" s="26" t="str">
        <f>IF(自定义调整栏!D36="","",自定义调整栏!D36)</f>
        <v/>
      </c>
      <c r="H578" s="26" t="str">
        <f>IF(自定义调整栏!G36="","",自定义调整栏!G36)</f>
        <v/>
      </c>
      <c r="I578" s="26" t="str">
        <f>IF(自定义调整栏!H36="","",自定义调整栏!H36)</f>
        <v/>
      </c>
      <c r="J578" s="26" t="str">
        <f>IF(自定义调整栏!I36="","",自定义调整栏!I36)</f>
        <v/>
      </c>
      <c r="K578" s="29" t="str">
        <f>IF(自定义调整栏!J36="","",自定义调整栏!J36)</f>
        <v/>
      </c>
      <c r="L578" s="30" t="str">
        <f>IF(自定义调整栏!K36="","",自定义调整栏!K36)</f>
        <v/>
      </c>
      <c r="M578" s="31" t="str">
        <f>IF(自定义调整栏!L36="","",自定义调整栏!L36)</f>
        <v/>
      </c>
      <c r="N578" s="29" t="s">
        <v>4198</v>
      </c>
      <c r="Z578" s="27" t="s">
        <v>4199</v>
      </c>
    </row>
    <row r="579" spans="1:26" ht="16.95" customHeight="1" x14ac:dyDescent="0.25">
      <c r="A579" s="98" t="str">
        <f>IF(自定义调整栏!C37="","",自定义调整栏!C37)</f>
        <v/>
      </c>
      <c r="B579" s="26" t="str">
        <f>IF(自定义调整栏!C37="","",IF(自定义调整栏!B37="戏法",0,自定义调整栏!B37))</f>
        <v/>
      </c>
      <c r="C579" s="26" t="str">
        <f>IF(自定义调整栏!C37="","",自定义调整栏!E37)</f>
        <v/>
      </c>
      <c r="D579" s="26" t="str">
        <f>IF(自定义调整栏!N37="","",自定义调整栏!N37)</f>
        <v/>
      </c>
      <c r="E579" s="26" t="str">
        <f>IF(自定义调整栏!M37="","",自定义调整栏!M37)</f>
        <v/>
      </c>
      <c r="F579" s="28" t="str">
        <f>IF(自定义调整栏!F37="","",自定义调整栏!F37)</f>
        <v/>
      </c>
      <c r="G579" s="26" t="str">
        <f>IF(自定义调整栏!D37="","",自定义调整栏!D37)</f>
        <v/>
      </c>
      <c r="H579" s="26" t="str">
        <f>IF(自定义调整栏!G37="","",自定义调整栏!G37)</f>
        <v/>
      </c>
      <c r="I579" s="26" t="str">
        <f>IF(自定义调整栏!H37="","",自定义调整栏!H37)</f>
        <v/>
      </c>
      <c r="J579" s="26" t="str">
        <f>IF(自定义调整栏!I37="","",自定义调整栏!I37)</f>
        <v/>
      </c>
      <c r="K579" s="29" t="str">
        <f>IF(自定义调整栏!J37="","",自定义调整栏!J37)</f>
        <v/>
      </c>
      <c r="L579" s="30" t="str">
        <f>IF(自定义调整栏!K37="","",自定义调整栏!K37)</f>
        <v/>
      </c>
      <c r="M579" s="31" t="str">
        <f>IF(自定义调整栏!L37="","",自定义调整栏!L37)</f>
        <v/>
      </c>
      <c r="N579" s="29" t="s">
        <v>4198</v>
      </c>
      <c r="Z579" s="27" t="s">
        <v>4199</v>
      </c>
    </row>
    <row r="580" spans="1:26" ht="16.95" customHeight="1" x14ac:dyDescent="0.25">
      <c r="A580" s="98" t="str">
        <f>IF(自定义调整栏!C38="","",自定义调整栏!C38)</f>
        <v/>
      </c>
      <c r="B580" s="26" t="str">
        <f>IF(自定义调整栏!C38="","",IF(自定义调整栏!B38="戏法",0,自定义调整栏!B38))</f>
        <v/>
      </c>
      <c r="C580" s="26" t="str">
        <f>IF(自定义调整栏!C38="","",自定义调整栏!E38)</f>
        <v/>
      </c>
      <c r="D580" s="26" t="str">
        <f>IF(自定义调整栏!N38="","",自定义调整栏!N38)</f>
        <v/>
      </c>
      <c r="E580" s="26" t="str">
        <f>IF(自定义调整栏!M38="","",自定义调整栏!M38)</f>
        <v/>
      </c>
      <c r="F580" s="28" t="str">
        <f>IF(自定义调整栏!F38="","",自定义调整栏!F38)</f>
        <v/>
      </c>
      <c r="G580" s="26" t="str">
        <f>IF(自定义调整栏!D38="","",自定义调整栏!D38)</f>
        <v/>
      </c>
      <c r="H580" s="26" t="str">
        <f>IF(自定义调整栏!G38="","",自定义调整栏!G38)</f>
        <v/>
      </c>
      <c r="I580" s="26" t="str">
        <f>IF(自定义调整栏!H38="","",自定义调整栏!H38)</f>
        <v/>
      </c>
      <c r="J580" s="26" t="str">
        <f>IF(自定义调整栏!I38="","",自定义调整栏!I38)</f>
        <v/>
      </c>
      <c r="K580" s="29" t="str">
        <f>IF(自定义调整栏!J38="","",自定义调整栏!J38)</f>
        <v/>
      </c>
      <c r="L580" s="30" t="str">
        <f>IF(自定义调整栏!K38="","",自定义调整栏!K38)</f>
        <v/>
      </c>
      <c r="M580" s="31" t="str">
        <f>IF(自定义调整栏!L38="","",自定义调整栏!L38)</f>
        <v/>
      </c>
      <c r="N580" s="29" t="s">
        <v>4198</v>
      </c>
      <c r="Z580" s="27" t="s">
        <v>4199</v>
      </c>
    </row>
    <row r="581" spans="1:26" ht="16.95" customHeight="1" x14ac:dyDescent="0.25">
      <c r="A581" s="98" t="str">
        <f>IF(自定义调整栏!C39="","",自定义调整栏!C39)</f>
        <v/>
      </c>
      <c r="B581" s="26" t="str">
        <f>IF(自定义调整栏!C39="","",IF(自定义调整栏!B39="戏法",0,自定义调整栏!B39))</f>
        <v/>
      </c>
      <c r="C581" s="26" t="str">
        <f>IF(自定义调整栏!C39="","",自定义调整栏!E39)</f>
        <v/>
      </c>
      <c r="D581" s="26" t="str">
        <f>IF(自定义调整栏!N39="","",自定义调整栏!N39)</f>
        <v/>
      </c>
      <c r="E581" s="26" t="str">
        <f>IF(自定义调整栏!M39="","",自定义调整栏!M39)</f>
        <v/>
      </c>
      <c r="F581" s="28" t="str">
        <f>IF(自定义调整栏!F39="","",自定义调整栏!F39)</f>
        <v/>
      </c>
      <c r="G581" s="26" t="str">
        <f>IF(自定义调整栏!D39="","",自定义调整栏!D39)</f>
        <v/>
      </c>
      <c r="H581" s="26" t="str">
        <f>IF(自定义调整栏!G39="","",自定义调整栏!G39)</f>
        <v/>
      </c>
      <c r="I581" s="26" t="str">
        <f>IF(自定义调整栏!H39="","",自定义调整栏!H39)</f>
        <v/>
      </c>
      <c r="J581" s="26" t="str">
        <f>IF(自定义调整栏!I39="","",自定义调整栏!I39)</f>
        <v/>
      </c>
      <c r="K581" s="29" t="str">
        <f>IF(自定义调整栏!J39="","",自定义调整栏!J39)</f>
        <v/>
      </c>
      <c r="L581" s="30" t="str">
        <f>IF(自定义调整栏!K39="","",自定义调整栏!K39)</f>
        <v/>
      </c>
      <c r="M581" s="31" t="str">
        <f>IF(自定义调整栏!L39="","",自定义调整栏!L39)</f>
        <v/>
      </c>
      <c r="N581" s="29" t="s">
        <v>4198</v>
      </c>
      <c r="Z581" s="27" t="s">
        <v>4199</v>
      </c>
    </row>
    <row r="582" spans="1:26" ht="16.95" customHeight="1" x14ac:dyDescent="0.25">
      <c r="A582" s="98" t="str">
        <f>IF(自定义调整栏!C40="","",自定义调整栏!C40)</f>
        <v/>
      </c>
      <c r="B582" s="26" t="str">
        <f>IF(自定义调整栏!C40="","",IF(自定义调整栏!B40="戏法",0,自定义调整栏!B40))</f>
        <v/>
      </c>
      <c r="C582" s="26" t="str">
        <f>IF(自定义调整栏!C40="","",自定义调整栏!E40)</f>
        <v/>
      </c>
      <c r="D582" s="26" t="str">
        <f>IF(自定义调整栏!N40="","",自定义调整栏!N40)</f>
        <v/>
      </c>
      <c r="E582" s="26" t="str">
        <f>IF(自定义调整栏!M40="","",自定义调整栏!M40)</f>
        <v/>
      </c>
      <c r="F582" s="28" t="str">
        <f>IF(自定义调整栏!F40="","",自定义调整栏!F40)</f>
        <v/>
      </c>
      <c r="G582" s="26" t="str">
        <f>IF(自定义调整栏!D40="","",自定义调整栏!D40)</f>
        <v/>
      </c>
      <c r="H582" s="26" t="str">
        <f>IF(自定义调整栏!G40="","",自定义调整栏!G40)</f>
        <v/>
      </c>
      <c r="I582" s="26" t="str">
        <f>IF(自定义调整栏!H40="","",自定义调整栏!H40)</f>
        <v/>
      </c>
      <c r="J582" s="26" t="str">
        <f>IF(自定义调整栏!I40="","",自定义调整栏!I40)</f>
        <v/>
      </c>
      <c r="K582" s="29" t="str">
        <f>IF(自定义调整栏!J40="","",自定义调整栏!J40)</f>
        <v/>
      </c>
      <c r="L582" s="30" t="str">
        <f>IF(自定义调整栏!K40="","",自定义调整栏!K40)</f>
        <v/>
      </c>
      <c r="M582" s="31" t="str">
        <f>IF(自定义调整栏!L40="","",自定义调整栏!L40)</f>
        <v/>
      </c>
      <c r="N582" s="29" t="s">
        <v>4198</v>
      </c>
      <c r="Z582" s="27" t="s">
        <v>4199</v>
      </c>
    </row>
    <row r="583" spans="1:26" ht="16.95" customHeight="1" x14ac:dyDescent="0.25">
      <c r="A583" s="98" t="str">
        <f>IF(自定义调整栏!C41="","",自定义调整栏!C41)</f>
        <v/>
      </c>
      <c r="B583" s="26" t="str">
        <f>IF(自定义调整栏!C41="","",IF(自定义调整栏!B41="戏法",0,自定义调整栏!B41))</f>
        <v/>
      </c>
      <c r="C583" s="26" t="str">
        <f>IF(自定义调整栏!C41="","",自定义调整栏!E41)</f>
        <v/>
      </c>
      <c r="D583" s="26" t="str">
        <f>IF(自定义调整栏!N41="","",自定义调整栏!N41)</f>
        <v/>
      </c>
      <c r="E583" s="26" t="str">
        <f>IF(自定义调整栏!M41="","",自定义调整栏!M41)</f>
        <v/>
      </c>
      <c r="F583" s="28" t="str">
        <f>IF(自定义调整栏!F41="","",自定义调整栏!F41)</f>
        <v/>
      </c>
      <c r="G583" s="26" t="str">
        <f>IF(自定义调整栏!D41="","",自定义调整栏!D41)</f>
        <v/>
      </c>
      <c r="H583" s="26" t="str">
        <f>IF(自定义调整栏!G41="","",自定义调整栏!G41)</f>
        <v/>
      </c>
      <c r="I583" s="26" t="str">
        <f>IF(自定义调整栏!H41="","",自定义调整栏!H41)</f>
        <v/>
      </c>
      <c r="J583" s="26" t="str">
        <f>IF(自定义调整栏!I41="","",自定义调整栏!I41)</f>
        <v/>
      </c>
      <c r="K583" s="29" t="str">
        <f>IF(自定义调整栏!J41="","",自定义调整栏!J41)</f>
        <v/>
      </c>
      <c r="L583" s="30" t="str">
        <f>IF(自定义调整栏!K41="","",自定义调整栏!K41)</f>
        <v/>
      </c>
      <c r="M583" s="31" t="str">
        <f>IF(自定义调整栏!L41="","",自定义调整栏!L41)</f>
        <v/>
      </c>
      <c r="N583" s="29" t="s">
        <v>4198</v>
      </c>
      <c r="Z583" s="27" t="s">
        <v>4199</v>
      </c>
    </row>
    <row r="584" spans="1:26" ht="16.95" customHeight="1" x14ac:dyDescent="0.25">
      <c r="A584" s="98" t="str">
        <f>IF(自定义调整栏!C42="","",自定义调整栏!C42)</f>
        <v/>
      </c>
      <c r="B584" s="26" t="str">
        <f>IF(自定义调整栏!C42="","",IF(自定义调整栏!B42="戏法",0,自定义调整栏!B42))</f>
        <v/>
      </c>
      <c r="C584" s="26" t="str">
        <f>IF(自定义调整栏!C42="","",自定义调整栏!E42)</f>
        <v/>
      </c>
      <c r="D584" s="26" t="str">
        <f>IF(自定义调整栏!N42="","",自定义调整栏!N42)</f>
        <v/>
      </c>
      <c r="E584" s="26" t="str">
        <f>IF(自定义调整栏!M42="","",自定义调整栏!M42)</f>
        <v/>
      </c>
      <c r="F584" s="28" t="str">
        <f>IF(自定义调整栏!F42="","",自定义调整栏!F42)</f>
        <v/>
      </c>
      <c r="G584" s="26" t="str">
        <f>IF(自定义调整栏!D42="","",自定义调整栏!D42)</f>
        <v/>
      </c>
      <c r="H584" s="26" t="str">
        <f>IF(自定义调整栏!G42="","",自定义调整栏!G42)</f>
        <v/>
      </c>
      <c r="I584" s="26" t="str">
        <f>IF(自定义调整栏!H42="","",自定义调整栏!H42)</f>
        <v/>
      </c>
      <c r="J584" s="26" t="str">
        <f>IF(自定义调整栏!I42="","",自定义调整栏!I42)</f>
        <v/>
      </c>
      <c r="K584" s="29" t="str">
        <f>IF(自定义调整栏!J42="","",自定义调整栏!J42)</f>
        <v/>
      </c>
      <c r="L584" s="30" t="str">
        <f>IF(自定义调整栏!K42="","",自定义调整栏!K42)</f>
        <v/>
      </c>
      <c r="M584" s="31" t="str">
        <f>IF(自定义调整栏!L42="","",自定义调整栏!L42)</f>
        <v/>
      </c>
      <c r="N584" s="29" t="s">
        <v>4198</v>
      </c>
      <c r="Z584" s="27" t="s">
        <v>4199</v>
      </c>
    </row>
    <row r="585" spans="1:26" ht="16.95" customHeight="1" x14ac:dyDescent="0.25">
      <c r="A585" s="98" t="str">
        <f>IF(自定义调整栏!C43="","",自定义调整栏!C43)</f>
        <v/>
      </c>
      <c r="B585" s="26" t="str">
        <f>IF(自定义调整栏!C43="","",IF(自定义调整栏!B43="戏法",0,自定义调整栏!B43))</f>
        <v/>
      </c>
      <c r="C585" s="26" t="str">
        <f>IF(自定义调整栏!C43="","",自定义调整栏!E43)</f>
        <v/>
      </c>
      <c r="D585" s="26" t="str">
        <f>IF(自定义调整栏!N43="","",自定义调整栏!N43)</f>
        <v/>
      </c>
      <c r="E585" s="26" t="str">
        <f>IF(自定义调整栏!M43="","",自定义调整栏!M43)</f>
        <v/>
      </c>
      <c r="F585" s="28" t="str">
        <f>IF(自定义调整栏!F43="","",自定义调整栏!F43)</f>
        <v/>
      </c>
      <c r="G585" s="26" t="str">
        <f>IF(自定义调整栏!D43="","",自定义调整栏!D43)</f>
        <v/>
      </c>
      <c r="H585" s="26" t="str">
        <f>IF(自定义调整栏!G43="","",自定义调整栏!G43)</f>
        <v/>
      </c>
      <c r="I585" s="26" t="str">
        <f>IF(自定义调整栏!H43="","",自定义调整栏!H43)</f>
        <v/>
      </c>
      <c r="J585" s="26" t="str">
        <f>IF(自定义调整栏!I43="","",自定义调整栏!I43)</f>
        <v/>
      </c>
      <c r="K585" s="29" t="str">
        <f>IF(自定义调整栏!J43="","",自定义调整栏!J43)</f>
        <v/>
      </c>
      <c r="L585" s="30" t="str">
        <f>IF(自定义调整栏!K43="","",自定义调整栏!K43)</f>
        <v/>
      </c>
      <c r="M585" s="31" t="str">
        <f>IF(自定义调整栏!L43="","",自定义调整栏!L43)</f>
        <v/>
      </c>
      <c r="N585" s="29" t="s">
        <v>4198</v>
      </c>
      <c r="Z585" s="27" t="s">
        <v>4199</v>
      </c>
    </row>
    <row r="586" spans="1:26" ht="16.95" customHeight="1" x14ac:dyDescent="0.25">
      <c r="A586" s="98" t="str">
        <f>IF(自定义调整栏!C44="","",自定义调整栏!C44)</f>
        <v/>
      </c>
      <c r="B586" s="26" t="str">
        <f>IF(自定义调整栏!C44="","",IF(自定义调整栏!B44="戏法",0,自定义调整栏!B44))</f>
        <v/>
      </c>
      <c r="C586" s="26" t="str">
        <f>IF(自定义调整栏!C44="","",自定义调整栏!E44)</f>
        <v/>
      </c>
      <c r="D586" s="26" t="str">
        <f>IF(自定义调整栏!N44="","",自定义调整栏!N44)</f>
        <v/>
      </c>
      <c r="E586" s="26" t="str">
        <f>IF(自定义调整栏!M44="","",自定义调整栏!M44)</f>
        <v/>
      </c>
      <c r="F586" s="28" t="str">
        <f>IF(自定义调整栏!F44="","",自定义调整栏!F44)</f>
        <v/>
      </c>
      <c r="G586" s="26" t="str">
        <f>IF(自定义调整栏!D44="","",自定义调整栏!D44)</f>
        <v/>
      </c>
      <c r="H586" s="26" t="str">
        <f>IF(自定义调整栏!G44="","",自定义调整栏!G44)</f>
        <v/>
      </c>
      <c r="I586" s="26" t="str">
        <f>IF(自定义调整栏!H44="","",自定义调整栏!H44)</f>
        <v/>
      </c>
      <c r="J586" s="26" t="str">
        <f>IF(自定义调整栏!I44="","",自定义调整栏!I44)</f>
        <v/>
      </c>
      <c r="K586" s="29" t="str">
        <f>IF(自定义调整栏!J44="","",自定义调整栏!J44)</f>
        <v/>
      </c>
      <c r="L586" s="30" t="str">
        <f>IF(自定义调整栏!K44="","",自定义调整栏!K44)</f>
        <v/>
      </c>
      <c r="M586" s="31" t="str">
        <f>IF(自定义调整栏!L44="","",自定义调整栏!L44)</f>
        <v/>
      </c>
      <c r="N586" s="29" t="s">
        <v>4198</v>
      </c>
      <c r="Z586" s="27" t="s">
        <v>4199</v>
      </c>
    </row>
    <row r="587" spans="1:26" ht="16.95" customHeight="1" x14ac:dyDescent="0.25">
      <c r="A587" s="98" t="str">
        <f>IF(自定义调整栏!C45="","",自定义调整栏!C45)</f>
        <v/>
      </c>
      <c r="B587" s="26" t="str">
        <f>IF(自定义调整栏!C45="","",IF(自定义调整栏!B45="戏法",0,自定义调整栏!B45))</f>
        <v/>
      </c>
      <c r="C587" s="26" t="str">
        <f>IF(自定义调整栏!C45="","",自定义调整栏!E45)</f>
        <v/>
      </c>
      <c r="D587" s="26" t="str">
        <f>IF(自定义调整栏!N45="","",自定义调整栏!N45)</f>
        <v/>
      </c>
      <c r="E587" s="26" t="str">
        <f>IF(自定义调整栏!M45="","",自定义调整栏!M45)</f>
        <v/>
      </c>
      <c r="F587" s="28" t="str">
        <f>IF(自定义调整栏!F45="","",自定义调整栏!F45)</f>
        <v/>
      </c>
      <c r="G587" s="26" t="str">
        <f>IF(自定义调整栏!D45="","",自定义调整栏!D45)</f>
        <v/>
      </c>
      <c r="H587" s="26" t="str">
        <f>IF(自定义调整栏!G45="","",自定义调整栏!G45)</f>
        <v/>
      </c>
      <c r="I587" s="26" t="str">
        <f>IF(自定义调整栏!H45="","",自定义调整栏!H45)</f>
        <v/>
      </c>
      <c r="J587" s="26" t="str">
        <f>IF(自定义调整栏!I45="","",自定义调整栏!I45)</f>
        <v/>
      </c>
      <c r="K587" s="29" t="str">
        <f>IF(自定义调整栏!J45="","",自定义调整栏!J45)</f>
        <v/>
      </c>
      <c r="L587" s="30" t="str">
        <f>IF(自定义调整栏!K45="","",自定义调整栏!K45)</f>
        <v/>
      </c>
      <c r="M587" s="31" t="str">
        <f>IF(自定义调整栏!L45="","",自定义调整栏!L45)</f>
        <v/>
      </c>
      <c r="N587" s="29" t="s">
        <v>4198</v>
      </c>
      <c r="Z587" s="27" t="s">
        <v>4199</v>
      </c>
    </row>
    <row r="588" spans="1:26" ht="16.95" customHeight="1" x14ac:dyDescent="0.25">
      <c r="A588" s="98" t="str">
        <f>IF(自定义调整栏!C46="","",自定义调整栏!C46)</f>
        <v/>
      </c>
      <c r="B588" s="26" t="str">
        <f>IF(自定义调整栏!C46="","",IF(自定义调整栏!B46="戏法",0,自定义调整栏!B46))</f>
        <v/>
      </c>
      <c r="C588" s="26" t="str">
        <f>IF(自定义调整栏!C46="","",自定义调整栏!E46)</f>
        <v/>
      </c>
      <c r="D588" s="26" t="str">
        <f>IF(自定义调整栏!N46="","",自定义调整栏!N46)</f>
        <v/>
      </c>
      <c r="E588" s="26" t="str">
        <f>IF(自定义调整栏!M46="","",自定义调整栏!M46)</f>
        <v/>
      </c>
      <c r="F588" s="28" t="str">
        <f>IF(自定义调整栏!F46="","",自定义调整栏!F46)</f>
        <v/>
      </c>
      <c r="G588" s="26" t="str">
        <f>IF(自定义调整栏!D46="","",自定义调整栏!D46)</f>
        <v/>
      </c>
      <c r="H588" s="26" t="str">
        <f>IF(自定义调整栏!G46="","",自定义调整栏!G46)</f>
        <v/>
      </c>
      <c r="I588" s="26" t="str">
        <f>IF(自定义调整栏!H46="","",自定义调整栏!H46)</f>
        <v/>
      </c>
      <c r="J588" s="26" t="str">
        <f>IF(自定义调整栏!I46="","",自定义调整栏!I46)</f>
        <v/>
      </c>
      <c r="K588" s="29" t="str">
        <f>IF(自定义调整栏!J46="","",自定义调整栏!J46)</f>
        <v/>
      </c>
      <c r="L588" s="30" t="str">
        <f>IF(自定义调整栏!K46="","",自定义调整栏!K46)</f>
        <v/>
      </c>
      <c r="M588" s="31" t="str">
        <f>IF(自定义调整栏!L46="","",自定义调整栏!L46)</f>
        <v/>
      </c>
      <c r="N588" s="29" t="s">
        <v>4198</v>
      </c>
      <c r="Z588" s="27" t="s">
        <v>4199</v>
      </c>
    </row>
    <row r="589" spans="1:26" ht="16.95" customHeight="1" x14ac:dyDescent="0.25">
      <c r="A589" s="98" t="str">
        <f>IF(自定义调整栏!C47="","",自定义调整栏!C47)</f>
        <v/>
      </c>
      <c r="B589" s="26" t="str">
        <f>IF(自定义调整栏!C47="","",IF(自定义调整栏!B47="戏法",0,自定义调整栏!B47))</f>
        <v/>
      </c>
      <c r="C589" s="26" t="str">
        <f>IF(自定义调整栏!C47="","",自定义调整栏!E47)</f>
        <v/>
      </c>
      <c r="D589" s="26" t="str">
        <f>IF(自定义调整栏!N47="","",自定义调整栏!N47)</f>
        <v/>
      </c>
      <c r="E589" s="26" t="str">
        <f>IF(自定义调整栏!M47="","",自定义调整栏!M47)</f>
        <v/>
      </c>
      <c r="F589" s="28" t="str">
        <f>IF(自定义调整栏!F47="","",自定义调整栏!F47)</f>
        <v/>
      </c>
      <c r="G589" s="26" t="str">
        <f>IF(自定义调整栏!D47="","",自定义调整栏!D47)</f>
        <v/>
      </c>
      <c r="H589" s="26" t="str">
        <f>IF(自定义调整栏!G47="","",自定义调整栏!G47)</f>
        <v/>
      </c>
      <c r="I589" s="26" t="str">
        <f>IF(自定义调整栏!H47="","",自定义调整栏!H47)</f>
        <v/>
      </c>
      <c r="J589" s="26" t="str">
        <f>IF(自定义调整栏!I47="","",自定义调整栏!I47)</f>
        <v/>
      </c>
      <c r="K589" s="29" t="str">
        <f>IF(自定义调整栏!J47="","",自定义调整栏!J47)</f>
        <v/>
      </c>
      <c r="L589" s="30" t="str">
        <f>IF(自定义调整栏!K47="","",自定义调整栏!K47)</f>
        <v/>
      </c>
      <c r="M589" s="31" t="str">
        <f>IF(自定义调整栏!L47="","",自定义调整栏!L47)</f>
        <v/>
      </c>
      <c r="N589" s="29" t="s">
        <v>4198</v>
      </c>
      <c r="Z589" s="27" t="s">
        <v>4199</v>
      </c>
    </row>
    <row r="590" spans="1:26" ht="16.95" customHeight="1" x14ac:dyDescent="0.25">
      <c r="A590" s="98" t="str">
        <f>IF(自定义调整栏!C48="","",自定义调整栏!C48)</f>
        <v/>
      </c>
      <c r="B590" s="26" t="str">
        <f>IF(自定义调整栏!C48="","",IF(自定义调整栏!B48="戏法",0,自定义调整栏!B48))</f>
        <v/>
      </c>
      <c r="C590" s="26" t="str">
        <f>IF(自定义调整栏!C48="","",自定义调整栏!E48)</f>
        <v/>
      </c>
      <c r="D590" s="26" t="str">
        <f>IF(自定义调整栏!N48="","",自定义调整栏!N48)</f>
        <v/>
      </c>
      <c r="E590" s="26" t="str">
        <f>IF(自定义调整栏!M48="","",自定义调整栏!M48)</f>
        <v/>
      </c>
      <c r="F590" s="28" t="str">
        <f>IF(自定义调整栏!F48="","",自定义调整栏!F48)</f>
        <v/>
      </c>
      <c r="G590" s="26" t="str">
        <f>IF(自定义调整栏!D48="","",自定义调整栏!D48)</f>
        <v/>
      </c>
      <c r="H590" s="26" t="str">
        <f>IF(自定义调整栏!G48="","",自定义调整栏!G48)</f>
        <v/>
      </c>
      <c r="I590" s="26" t="str">
        <f>IF(自定义调整栏!H48="","",自定义调整栏!H48)</f>
        <v/>
      </c>
      <c r="J590" s="26" t="str">
        <f>IF(自定义调整栏!I48="","",自定义调整栏!I48)</f>
        <v/>
      </c>
      <c r="K590" s="29" t="str">
        <f>IF(自定义调整栏!J48="","",自定义调整栏!J48)</f>
        <v/>
      </c>
      <c r="L590" s="30" t="str">
        <f>IF(自定义调整栏!K48="","",自定义调整栏!K48)</f>
        <v/>
      </c>
      <c r="M590" s="31" t="str">
        <f>IF(自定义调整栏!L48="","",自定义调整栏!L48)</f>
        <v/>
      </c>
      <c r="N590" s="29" t="s">
        <v>4198</v>
      </c>
      <c r="Z590" s="27" t="s">
        <v>4199</v>
      </c>
    </row>
    <row r="591" spans="1:26" ht="16.95" customHeight="1" x14ac:dyDescent="0.25">
      <c r="A591" s="98" t="str">
        <f>IF(自定义调整栏!C49="","",自定义调整栏!C49)</f>
        <v/>
      </c>
      <c r="B591" s="26" t="str">
        <f>IF(自定义调整栏!C49="","",IF(自定义调整栏!B49="戏法",0,自定义调整栏!B49))</f>
        <v/>
      </c>
      <c r="C591" s="26" t="str">
        <f>IF(自定义调整栏!C49="","",自定义调整栏!E49)</f>
        <v/>
      </c>
      <c r="D591" s="26" t="str">
        <f>IF(自定义调整栏!N49="","",自定义调整栏!N49)</f>
        <v/>
      </c>
      <c r="E591" s="26" t="str">
        <f>IF(自定义调整栏!M49="","",自定义调整栏!M49)</f>
        <v/>
      </c>
      <c r="F591" s="28" t="str">
        <f>IF(自定义调整栏!F49="","",自定义调整栏!F49)</f>
        <v/>
      </c>
      <c r="G591" s="26" t="str">
        <f>IF(自定义调整栏!D49="","",自定义调整栏!D49)</f>
        <v/>
      </c>
      <c r="H591" s="26" t="str">
        <f>IF(自定义调整栏!G49="","",自定义调整栏!G49)</f>
        <v/>
      </c>
      <c r="I591" s="26" t="str">
        <f>IF(自定义调整栏!H49="","",自定义调整栏!H49)</f>
        <v/>
      </c>
      <c r="J591" s="26" t="str">
        <f>IF(自定义调整栏!I49="","",自定义调整栏!I49)</f>
        <v/>
      </c>
      <c r="K591" s="29" t="str">
        <f>IF(自定义调整栏!J49="","",自定义调整栏!J49)</f>
        <v/>
      </c>
      <c r="L591" s="30" t="str">
        <f>IF(自定义调整栏!K49="","",自定义调整栏!K49)</f>
        <v/>
      </c>
      <c r="M591" s="31" t="str">
        <f>IF(自定义调整栏!L49="","",自定义调整栏!L49)</f>
        <v/>
      </c>
      <c r="N591" s="29" t="s">
        <v>4198</v>
      </c>
      <c r="Z591" s="27" t="s">
        <v>4199</v>
      </c>
    </row>
    <row r="592" spans="1:26" ht="16.95" customHeight="1" x14ac:dyDescent="0.25">
      <c r="A592" s="98" t="str">
        <f>IF(自定义调整栏!C50="","",自定义调整栏!C50)</f>
        <v/>
      </c>
      <c r="B592" s="26" t="str">
        <f>IF(自定义调整栏!C50="","",IF(自定义调整栏!B50="戏法",0,自定义调整栏!B50))</f>
        <v/>
      </c>
      <c r="C592" s="26" t="str">
        <f>IF(自定义调整栏!C50="","",自定义调整栏!E50)</f>
        <v/>
      </c>
      <c r="D592" s="26" t="str">
        <f>IF(自定义调整栏!N50="","",自定义调整栏!N50)</f>
        <v/>
      </c>
      <c r="E592" s="26" t="str">
        <f>IF(自定义调整栏!M50="","",自定义调整栏!M50)</f>
        <v/>
      </c>
      <c r="F592" s="28" t="str">
        <f>IF(自定义调整栏!F50="","",自定义调整栏!F50)</f>
        <v/>
      </c>
      <c r="G592" s="26" t="str">
        <f>IF(自定义调整栏!D50="","",自定义调整栏!D50)</f>
        <v/>
      </c>
      <c r="H592" s="26" t="str">
        <f>IF(自定义调整栏!G50="","",自定义调整栏!G50)</f>
        <v/>
      </c>
      <c r="I592" s="26" t="str">
        <f>IF(自定义调整栏!H50="","",自定义调整栏!H50)</f>
        <v/>
      </c>
      <c r="J592" s="26" t="str">
        <f>IF(自定义调整栏!I50="","",自定义调整栏!I50)</f>
        <v/>
      </c>
      <c r="K592" s="29" t="str">
        <f>IF(自定义调整栏!J50="","",自定义调整栏!J50)</f>
        <v/>
      </c>
      <c r="L592" s="30" t="str">
        <f>IF(自定义调整栏!K50="","",自定义调整栏!K50)</f>
        <v/>
      </c>
      <c r="M592" s="31" t="str">
        <f>IF(自定义调整栏!L50="","",自定义调整栏!L50)</f>
        <v/>
      </c>
      <c r="N592" s="29" t="s">
        <v>4198</v>
      </c>
      <c r="Z592" s="27" t="s">
        <v>4199</v>
      </c>
    </row>
    <row r="593" spans="1:26" ht="16.95" customHeight="1" x14ac:dyDescent="0.25">
      <c r="A593" s="98" t="str">
        <f>IF(自定义调整栏!C51="","",自定义调整栏!C51)</f>
        <v/>
      </c>
      <c r="B593" s="26" t="str">
        <f>IF(自定义调整栏!C51="","",IF(自定义调整栏!B51="戏法",0,自定义调整栏!B51))</f>
        <v/>
      </c>
      <c r="C593" s="26" t="str">
        <f>IF(自定义调整栏!C51="","",自定义调整栏!E51)</f>
        <v/>
      </c>
      <c r="D593" s="26" t="str">
        <f>IF(自定义调整栏!N51="","",自定义调整栏!N51)</f>
        <v/>
      </c>
      <c r="E593" s="26" t="str">
        <f>IF(自定义调整栏!M51="","",自定义调整栏!M51)</f>
        <v/>
      </c>
      <c r="F593" s="28" t="str">
        <f>IF(自定义调整栏!F51="","",自定义调整栏!F51)</f>
        <v/>
      </c>
      <c r="G593" s="26" t="str">
        <f>IF(自定义调整栏!D51="","",自定义调整栏!D51)</f>
        <v/>
      </c>
      <c r="H593" s="26" t="str">
        <f>IF(自定义调整栏!G51="","",自定义调整栏!G51)</f>
        <v/>
      </c>
      <c r="I593" s="26" t="str">
        <f>IF(自定义调整栏!H51="","",自定义调整栏!H51)</f>
        <v/>
      </c>
      <c r="J593" s="26" t="str">
        <f>IF(自定义调整栏!I51="","",自定义调整栏!I51)</f>
        <v/>
      </c>
      <c r="K593" s="29" t="str">
        <f>IF(自定义调整栏!J51="","",自定义调整栏!J51)</f>
        <v/>
      </c>
      <c r="L593" s="30" t="str">
        <f>IF(自定义调整栏!K51="","",自定义调整栏!K51)</f>
        <v/>
      </c>
      <c r="M593" s="31" t="str">
        <f>IF(自定义调整栏!L51="","",自定义调整栏!L51)</f>
        <v/>
      </c>
      <c r="N593" s="29" t="s">
        <v>4198</v>
      </c>
      <c r="Z593" s="27" t="s">
        <v>4199</v>
      </c>
    </row>
    <row r="594" spans="1:26" ht="16.95" customHeight="1" x14ac:dyDescent="0.25">
      <c r="A594" s="98" t="str">
        <f>IF(自定义调整栏!C52="","",自定义调整栏!C52)</f>
        <v/>
      </c>
      <c r="B594" s="26" t="str">
        <f>IF(自定义调整栏!C52="","",IF(自定义调整栏!B52="戏法",0,自定义调整栏!B52))</f>
        <v/>
      </c>
      <c r="C594" s="26" t="str">
        <f>IF(自定义调整栏!C52="","",自定义调整栏!E52)</f>
        <v/>
      </c>
      <c r="D594" s="26" t="str">
        <f>IF(自定义调整栏!N52="","",自定义调整栏!N52)</f>
        <v/>
      </c>
      <c r="E594" s="26" t="str">
        <f>IF(自定义调整栏!M52="","",自定义调整栏!M52)</f>
        <v/>
      </c>
      <c r="F594" s="28" t="str">
        <f>IF(自定义调整栏!F52="","",自定义调整栏!F52)</f>
        <v/>
      </c>
      <c r="G594" s="26" t="str">
        <f>IF(自定义调整栏!D52="","",自定义调整栏!D52)</f>
        <v/>
      </c>
      <c r="H594" s="26" t="str">
        <f>IF(自定义调整栏!G52="","",自定义调整栏!G52)</f>
        <v/>
      </c>
      <c r="I594" s="26" t="str">
        <f>IF(自定义调整栏!H52="","",自定义调整栏!H52)</f>
        <v/>
      </c>
      <c r="J594" s="26" t="str">
        <f>IF(自定义调整栏!I52="","",自定义调整栏!I52)</f>
        <v/>
      </c>
      <c r="K594" s="29" t="str">
        <f>IF(自定义调整栏!J52="","",自定义调整栏!J52)</f>
        <v/>
      </c>
      <c r="L594" s="30" t="str">
        <f>IF(自定义调整栏!K52="","",自定义调整栏!K52)</f>
        <v/>
      </c>
      <c r="M594" s="31" t="str">
        <f>IF(自定义调整栏!L52="","",自定义调整栏!L52)</f>
        <v/>
      </c>
      <c r="N594" s="29" t="s">
        <v>4198</v>
      </c>
      <c r="Z594" s="27" t="s">
        <v>4199</v>
      </c>
    </row>
  </sheetData>
  <autoFilter ref="A2:Z595" xr:uid="{00000000-0009-0000-0000-00000C000000}"/>
  <phoneticPr fontId="86"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0" tint="-0.249977111117893"/>
  </sheetPr>
  <dimension ref="A1:X52"/>
  <sheetViews>
    <sheetView zoomScale="85" zoomScaleNormal="85" workbookViewId="0">
      <selection activeCell="B3" sqref="B3"/>
    </sheetView>
  </sheetViews>
  <sheetFormatPr defaultColWidth="9" defaultRowHeight="15" x14ac:dyDescent="0.25"/>
  <cols>
    <col min="1" max="1" width="3.77734375" style="9" customWidth="1"/>
    <col min="2" max="2" width="4.77734375" style="9" customWidth="1"/>
    <col min="3" max="3" width="18.77734375" style="9" customWidth="1"/>
    <col min="4" max="4" width="15.77734375" style="9" customWidth="1"/>
    <col min="5" max="5" width="6.77734375" style="9" customWidth="1"/>
    <col min="6" max="6" width="10.77734375" style="9" customWidth="1"/>
    <col min="7" max="9" width="3.77734375" style="9" customWidth="1"/>
    <col min="10" max="10" width="20.77734375" style="9" customWidth="1"/>
    <col min="11" max="11" width="16.77734375" style="9" customWidth="1"/>
    <col min="12" max="12" width="32.109375" style="9" customWidth="1"/>
    <col min="13" max="14" width="4.77734375" style="9" customWidth="1"/>
    <col min="15" max="16" width="2.33203125" style="9" customWidth="1"/>
    <col min="17" max="16384" width="9" style="9"/>
  </cols>
  <sheetData>
    <row r="1" spans="1:24" ht="16.95" customHeight="1" x14ac:dyDescent="0.25">
      <c r="A1" s="793" t="s">
        <v>4200</v>
      </c>
      <c r="B1" s="793"/>
      <c r="C1" s="793"/>
      <c r="D1" s="793"/>
      <c r="E1" s="793"/>
      <c r="F1" s="793"/>
      <c r="G1" s="793"/>
      <c r="H1" s="793"/>
      <c r="I1" s="793"/>
      <c r="J1" s="793"/>
      <c r="K1" s="793"/>
      <c r="L1" s="793"/>
      <c r="M1" s="793"/>
      <c r="N1" s="793"/>
      <c r="O1" s="793"/>
    </row>
    <row r="2" spans="1:24" ht="16.95" customHeight="1" x14ac:dyDescent="0.25">
      <c r="A2" s="11"/>
      <c r="B2" s="12" t="s">
        <v>184</v>
      </c>
      <c r="C2" s="11" t="s">
        <v>38</v>
      </c>
      <c r="D2" s="11" t="s">
        <v>194</v>
      </c>
      <c r="E2" s="11" t="s">
        <v>2277</v>
      </c>
      <c r="F2" s="11" t="s">
        <v>195</v>
      </c>
      <c r="G2" s="13" t="s">
        <v>2290</v>
      </c>
      <c r="H2" s="13" t="s">
        <v>2291</v>
      </c>
      <c r="I2" s="13" t="s">
        <v>2310</v>
      </c>
      <c r="J2" s="13" t="s">
        <v>4201</v>
      </c>
      <c r="K2" s="11" t="s">
        <v>197</v>
      </c>
      <c r="L2" s="23" t="s">
        <v>4202</v>
      </c>
      <c r="M2" s="11" t="s">
        <v>201</v>
      </c>
      <c r="N2" s="11" t="s">
        <v>202</v>
      </c>
      <c r="O2" s="11"/>
      <c r="Q2" s="796" t="s">
        <v>4331</v>
      </c>
      <c r="R2" s="796"/>
      <c r="S2" s="796"/>
      <c r="T2" s="796"/>
      <c r="U2" s="796"/>
      <c r="V2" s="796"/>
      <c r="W2" s="796"/>
      <c r="X2" s="796"/>
    </row>
    <row r="3" spans="1:24" ht="16.95" customHeight="1" x14ac:dyDescent="0.25">
      <c r="A3" s="14"/>
      <c r="B3" s="19"/>
      <c r="C3" s="20"/>
      <c r="D3" s="21"/>
      <c r="E3" s="20"/>
      <c r="F3" s="21"/>
      <c r="G3" s="22"/>
      <c r="H3" s="22"/>
      <c r="I3" s="22"/>
      <c r="J3" s="21"/>
      <c r="K3" s="20"/>
      <c r="L3" s="25"/>
      <c r="M3" s="20"/>
      <c r="N3" s="20"/>
      <c r="P3" s="319"/>
      <c r="Q3" s="795" t="s">
        <v>4332</v>
      </c>
      <c r="R3" s="795"/>
      <c r="S3" s="323" t="s">
        <v>4306</v>
      </c>
      <c r="T3" s="323" t="s">
        <v>128</v>
      </c>
      <c r="U3" s="323" t="s">
        <v>1839</v>
      </c>
      <c r="V3" s="323" t="s">
        <v>127</v>
      </c>
      <c r="W3" s="323" t="s">
        <v>119</v>
      </c>
      <c r="X3" s="323" t="s">
        <v>4338</v>
      </c>
    </row>
    <row r="4" spans="1:24" ht="16.95" customHeight="1" x14ac:dyDescent="0.25">
      <c r="B4" s="15"/>
      <c r="C4" s="16"/>
      <c r="D4" s="17"/>
      <c r="E4" s="16"/>
      <c r="F4" s="17"/>
      <c r="G4" s="18"/>
      <c r="H4" s="18"/>
      <c r="I4" s="18"/>
      <c r="J4" s="17"/>
      <c r="K4" s="16"/>
      <c r="L4" s="24"/>
      <c r="M4" s="16"/>
      <c r="N4" s="16"/>
      <c r="P4" s="319"/>
      <c r="Q4" s="794" t="s">
        <v>4330</v>
      </c>
      <c r="R4" s="794"/>
      <c r="S4" s="322"/>
      <c r="T4" s="322"/>
      <c r="U4" s="322"/>
      <c r="V4" s="322"/>
      <c r="W4" s="322"/>
      <c r="X4" s="322" t="s">
        <v>77</v>
      </c>
    </row>
    <row r="5" spans="1:24" ht="16.95" customHeight="1" x14ac:dyDescent="0.25">
      <c r="B5" s="19"/>
      <c r="C5" s="20"/>
      <c r="D5" s="21"/>
      <c r="E5" s="20"/>
      <c r="F5" s="21"/>
      <c r="G5" s="22"/>
      <c r="H5" s="22"/>
      <c r="I5" s="22"/>
      <c r="J5" s="21"/>
      <c r="K5" s="20"/>
      <c r="L5" s="25"/>
      <c r="M5" s="20"/>
      <c r="N5" s="20"/>
      <c r="P5" s="319"/>
      <c r="Q5" s="795" t="s">
        <v>4332</v>
      </c>
      <c r="R5" s="795"/>
      <c r="S5" s="323" t="s">
        <v>4335</v>
      </c>
      <c r="T5" s="323" t="s">
        <v>128</v>
      </c>
      <c r="U5" s="323" t="s">
        <v>1839</v>
      </c>
      <c r="V5" s="323" t="s">
        <v>127</v>
      </c>
      <c r="W5" s="323" t="s">
        <v>119</v>
      </c>
      <c r="X5" s="323" t="s">
        <v>4337</v>
      </c>
    </row>
    <row r="6" spans="1:24" ht="16.95" customHeight="1" x14ac:dyDescent="0.25">
      <c r="B6" s="15"/>
      <c r="C6" s="16"/>
      <c r="D6" s="17"/>
      <c r="E6" s="16"/>
      <c r="F6" s="17"/>
      <c r="G6" s="18"/>
      <c r="H6" s="18"/>
      <c r="I6" s="18"/>
      <c r="J6" s="17"/>
      <c r="K6" s="16"/>
      <c r="L6" s="24"/>
      <c r="M6" s="16"/>
      <c r="N6" s="16"/>
      <c r="P6" s="319"/>
      <c r="Q6" s="794" t="s">
        <v>4333</v>
      </c>
      <c r="R6" s="794"/>
      <c r="S6" s="322"/>
      <c r="T6" s="322"/>
      <c r="U6" s="322"/>
      <c r="V6" s="322"/>
      <c r="W6" s="322"/>
      <c r="X6" s="322" t="s">
        <v>77</v>
      </c>
    </row>
    <row r="7" spans="1:24" ht="16.95" customHeight="1" x14ac:dyDescent="0.25">
      <c r="B7" s="19"/>
      <c r="C7" s="20"/>
      <c r="D7" s="21"/>
      <c r="E7" s="20"/>
      <c r="F7" s="21"/>
      <c r="G7" s="22"/>
      <c r="H7" s="22"/>
      <c r="I7" s="22"/>
      <c r="J7" s="21"/>
      <c r="K7" s="20"/>
      <c r="L7" s="25"/>
      <c r="M7" s="20"/>
      <c r="N7" s="20"/>
      <c r="P7" s="319"/>
      <c r="Q7" s="795" t="s">
        <v>4332</v>
      </c>
      <c r="R7" s="795"/>
      <c r="S7" s="323" t="s">
        <v>4335</v>
      </c>
      <c r="T7" s="323" t="s">
        <v>128</v>
      </c>
      <c r="U7" s="323" t="s">
        <v>1839</v>
      </c>
      <c r="V7" s="323" t="s">
        <v>127</v>
      </c>
      <c r="W7" s="323" t="s">
        <v>119</v>
      </c>
      <c r="X7" s="323" t="s">
        <v>4337</v>
      </c>
    </row>
    <row r="8" spans="1:24" ht="16.95" customHeight="1" x14ac:dyDescent="0.25">
      <c r="B8" s="15"/>
      <c r="C8" s="16"/>
      <c r="D8" s="17"/>
      <c r="E8" s="16"/>
      <c r="F8" s="17"/>
      <c r="G8" s="18"/>
      <c r="H8" s="18"/>
      <c r="I8" s="18"/>
      <c r="J8" s="17"/>
      <c r="K8" s="16"/>
      <c r="L8" s="24"/>
      <c r="M8" s="16"/>
      <c r="N8" s="16"/>
      <c r="P8" s="319"/>
      <c r="Q8" s="794" t="s">
        <v>4334</v>
      </c>
      <c r="R8" s="794"/>
      <c r="S8" s="322"/>
      <c r="T8" s="322"/>
      <c r="U8" s="322"/>
      <c r="V8" s="322"/>
      <c r="W8" s="322"/>
      <c r="X8" s="322" t="s">
        <v>77</v>
      </c>
    </row>
    <row r="9" spans="1:24" ht="16.95" customHeight="1" x14ac:dyDescent="0.25">
      <c r="B9" s="19"/>
      <c r="C9" s="20"/>
      <c r="D9" s="21"/>
      <c r="E9" s="20"/>
      <c r="F9" s="21"/>
      <c r="G9" s="22"/>
      <c r="H9" s="22"/>
      <c r="I9" s="22"/>
      <c r="J9" s="21"/>
      <c r="K9" s="20"/>
      <c r="L9" s="25"/>
      <c r="M9" s="20"/>
      <c r="N9" s="20"/>
      <c r="P9" s="319"/>
      <c r="Q9" s="319"/>
      <c r="R9" s="319"/>
    </row>
    <row r="10" spans="1:24" ht="16.95" customHeight="1" x14ac:dyDescent="0.25">
      <c r="B10" s="15"/>
      <c r="C10" s="16"/>
      <c r="D10" s="17"/>
      <c r="E10" s="16"/>
      <c r="F10" s="17"/>
      <c r="G10" s="18"/>
      <c r="H10" s="18"/>
      <c r="I10" s="18"/>
      <c r="J10" s="17"/>
      <c r="K10" s="16"/>
      <c r="L10" s="24"/>
      <c r="M10" s="16"/>
      <c r="N10" s="16"/>
      <c r="P10" s="319"/>
    </row>
    <row r="11" spans="1:24" ht="16.95" customHeight="1" x14ac:dyDescent="0.25">
      <c r="B11" s="19"/>
      <c r="C11" s="20"/>
      <c r="D11" s="21"/>
      <c r="E11" s="20"/>
      <c r="F11" s="21"/>
      <c r="G11" s="22"/>
      <c r="H11" s="22"/>
      <c r="I11" s="22"/>
      <c r="J11" s="21"/>
      <c r="K11" s="20"/>
      <c r="L11" s="25"/>
      <c r="M11" s="20"/>
      <c r="N11" s="20"/>
      <c r="P11" s="319"/>
    </row>
    <row r="12" spans="1:24" ht="16.95" customHeight="1" x14ac:dyDescent="0.25">
      <c r="B12" s="15"/>
      <c r="C12" s="16"/>
      <c r="D12" s="17"/>
      <c r="E12" s="16"/>
      <c r="F12" s="17"/>
      <c r="G12" s="18"/>
      <c r="H12" s="18"/>
      <c r="I12" s="18"/>
      <c r="J12" s="17"/>
      <c r="K12" s="16"/>
      <c r="L12" s="24"/>
      <c r="M12" s="16"/>
      <c r="N12" s="16"/>
      <c r="P12" s="319"/>
      <c r="Q12" s="319"/>
      <c r="R12" s="319"/>
    </row>
    <row r="13" spans="1:24" ht="16.95" customHeight="1" x14ac:dyDescent="0.25">
      <c r="B13" s="19"/>
      <c r="C13" s="20"/>
      <c r="D13" s="21"/>
      <c r="E13" s="20"/>
      <c r="F13" s="21"/>
      <c r="G13" s="22"/>
      <c r="H13" s="22"/>
      <c r="I13" s="22"/>
      <c r="J13" s="21"/>
      <c r="K13" s="20"/>
      <c r="L13" s="25"/>
      <c r="M13" s="20"/>
      <c r="N13" s="20"/>
      <c r="P13" s="319"/>
      <c r="Q13" s="319"/>
      <c r="R13" s="319"/>
    </row>
    <row r="14" spans="1:24" ht="16.95" customHeight="1" x14ac:dyDescent="0.25">
      <c r="B14" s="15"/>
      <c r="C14" s="16"/>
      <c r="D14" s="17"/>
      <c r="E14" s="16"/>
      <c r="F14" s="17"/>
      <c r="G14" s="18"/>
      <c r="H14" s="18"/>
      <c r="I14" s="18"/>
      <c r="J14" s="17"/>
      <c r="K14" s="16"/>
      <c r="L14" s="24"/>
      <c r="M14" s="16"/>
      <c r="N14" s="16"/>
      <c r="P14" s="319"/>
      <c r="Q14" s="319"/>
      <c r="R14" s="319"/>
    </row>
    <row r="15" spans="1:24" ht="16.95" customHeight="1" x14ac:dyDescent="0.25">
      <c r="B15" s="19"/>
      <c r="C15" s="20"/>
      <c r="D15" s="21"/>
      <c r="E15" s="20"/>
      <c r="F15" s="21"/>
      <c r="G15" s="22"/>
      <c r="H15" s="22"/>
      <c r="I15" s="22"/>
      <c r="J15" s="21"/>
      <c r="K15" s="20"/>
      <c r="L15" s="25"/>
      <c r="M15" s="20"/>
      <c r="N15" s="20"/>
      <c r="P15" s="319"/>
      <c r="Q15" s="319"/>
      <c r="R15" s="319"/>
    </row>
    <row r="16" spans="1:24" ht="16.95" customHeight="1" x14ac:dyDescent="0.25">
      <c r="B16" s="15"/>
      <c r="C16" s="16"/>
      <c r="D16" s="17"/>
      <c r="E16" s="16"/>
      <c r="F16" s="17"/>
      <c r="G16" s="18"/>
      <c r="H16" s="18"/>
      <c r="I16" s="18"/>
      <c r="J16" s="17"/>
      <c r="K16" s="16"/>
      <c r="L16" s="24"/>
      <c r="M16" s="16"/>
      <c r="N16" s="16"/>
      <c r="P16" s="319"/>
      <c r="Q16" s="319"/>
      <c r="R16" s="319"/>
    </row>
    <row r="17" spans="2:18" ht="16.95" customHeight="1" x14ac:dyDescent="0.25">
      <c r="B17" s="19"/>
      <c r="C17" s="20"/>
      <c r="D17" s="21"/>
      <c r="E17" s="20"/>
      <c r="F17" s="21"/>
      <c r="G17" s="22"/>
      <c r="H17" s="22"/>
      <c r="I17" s="22"/>
      <c r="J17" s="21"/>
      <c r="K17" s="20"/>
      <c r="L17" s="25"/>
      <c r="M17" s="20"/>
      <c r="N17" s="20"/>
      <c r="P17" s="319"/>
      <c r="Q17" s="319"/>
      <c r="R17" s="319"/>
    </row>
    <row r="18" spans="2:18" ht="16.95" customHeight="1" x14ac:dyDescent="0.25">
      <c r="B18" s="15"/>
      <c r="C18" s="16"/>
      <c r="D18" s="17"/>
      <c r="E18" s="16"/>
      <c r="F18" s="17"/>
      <c r="G18" s="18"/>
      <c r="H18" s="18"/>
      <c r="I18" s="18"/>
      <c r="J18" s="17"/>
      <c r="K18" s="16"/>
      <c r="L18" s="24"/>
      <c r="M18" s="16"/>
      <c r="N18" s="16"/>
      <c r="P18" s="319"/>
      <c r="Q18" s="319"/>
      <c r="R18" s="319"/>
    </row>
    <row r="19" spans="2:18" ht="16.95" customHeight="1" x14ac:dyDescent="0.25">
      <c r="B19" s="19"/>
      <c r="C19" s="20"/>
      <c r="D19" s="21"/>
      <c r="E19" s="20"/>
      <c r="F19" s="21"/>
      <c r="G19" s="22"/>
      <c r="H19" s="22"/>
      <c r="I19" s="22"/>
      <c r="J19" s="21"/>
      <c r="K19" s="20"/>
      <c r="L19" s="25"/>
      <c r="M19" s="20"/>
      <c r="N19" s="20"/>
      <c r="P19" s="319"/>
      <c r="Q19" s="319"/>
      <c r="R19" s="319"/>
    </row>
    <row r="20" spans="2:18" ht="16.95" customHeight="1" x14ac:dyDescent="0.25">
      <c r="B20" s="15"/>
      <c r="C20" s="16"/>
      <c r="D20" s="17"/>
      <c r="E20" s="16"/>
      <c r="F20" s="17"/>
      <c r="G20" s="18"/>
      <c r="H20" s="18"/>
      <c r="I20" s="18"/>
      <c r="J20" s="17"/>
      <c r="K20" s="16"/>
      <c r="L20" s="24"/>
      <c r="M20" s="16"/>
      <c r="N20" s="16"/>
      <c r="P20" s="319"/>
      <c r="Q20" s="319"/>
      <c r="R20" s="319"/>
    </row>
    <row r="21" spans="2:18" ht="16.95" customHeight="1" x14ac:dyDescent="0.25">
      <c r="B21" s="19"/>
      <c r="C21" s="20"/>
      <c r="D21" s="21"/>
      <c r="E21" s="20"/>
      <c r="F21" s="21"/>
      <c r="G21" s="22"/>
      <c r="H21" s="22"/>
      <c r="I21" s="22"/>
      <c r="J21" s="21"/>
      <c r="K21" s="20"/>
      <c r="L21" s="25"/>
      <c r="M21" s="20"/>
      <c r="N21" s="20"/>
      <c r="P21" s="319"/>
      <c r="Q21" s="319"/>
      <c r="R21" s="319"/>
    </row>
    <row r="22" spans="2:18" ht="16.95" customHeight="1" x14ac:dyDescent="0.25">
      <c r="B22" s="15"/>
      <c r="C22" s="16"/>
      <c r="D22" s="17"/>
      <c r="E22" s="16"/>
      <c r="F22" s="17"/>
      <c r="G22" s="18"/>
      <c r="H22" s="18"/>
      <c r="I22" s="18"/>
      <c r="J22" s="17"/>
      <c r="K22" s="16"/>
      <c r="L22" s="24"/>
      <c r="M22" s="16"/>
      <c r="N22" s="16"/>
      <c r="P22" s="319"/>
      <c r="Q22" s="319"/>
      <c r="R22" s="319"/>
    </row>
    <row r="23" spans="2:18" ht="16.95" customHeight="1" x14ac:dyDescent="0.25">
      <c r="B23" s="19"/>
      <c r="C23" s="20"/>
      <c r="D23" s="21"/>
      <c r="E23" s="20"/>
      <c r="F23" s="21"/>
      <c r="G23" s="22"/>
      <c r="H23" s="22"/>
      <c r="I23" s="22"/>
      <c r="J23" s="21"/>
      <c r="K23" s="20"/>
      <c r="L23" s="25"/>
      <c r="M23" s="20"/>
      <c r="N23" s="20"/>
      <c r="P23" s="319"/>
      <c r="Q23" s="319"/>
      <c r="R23" s="319"/>
    </row>
    <row r="24" spans="2:18" ht="16.95" customHeight="1" x14ac:dyDescent="0.25">
      <c r="B24" s="15"/>
      <c r="C24" s="16"/>
      <c r="D24" s="17"/>
      <c r="E24" s="16"/>
      <c r="F24" s="17"/>
      <c r="G24" s="18"/>
      <c r="H24" s="18"/>
      <c r="I24" s="18"/>
      <c r="J24" s="17"/>
      <c r="K24" s="16"/>
      <c r="L24" s="24"/>
      <c r="M24" s="16"/>
      <c r="N24" s="16"/>
      <c r="P24" s="319"/>
      <c r="Q24" s="319"/>
      <c r="R24" s="319"/>
    </row>
    <row r="25" spans="2:18" ht="16.95" customHeight="1" x14ac:dyDescent="0.25">
      <c r="B25" s="19"/>
      <c r="C25" s="20"/>
      <c r="D25" s="21"/>
      <c r="E25" s="20"/>
      <c r="F25" s="21"/>
      <c r="G25" s="22"/>
      <c r="H25" s="22"/>
      <c r="I25" s="22"/>
      <c r="J25" s="21"/>
      <c r="K25" s="20"/>
      <c r="L25" s="25"/>
      <c r="M25" s="20"/>
      <c r="N25" s="20"/>
      <c r="P25" s="319"/>
      <c r="Q25" s="319"/>
      <c r="R25" s="319"/>
    </row>
    <row r="26" spans="2:18" ht="16.95" customHeight="1" x14ac:dyDescent="0.25">
      <c r="B26" s="15"/>
      <c r="C26" s="16"/>
      <c r="D26" s="17"/>
      <c r="E26" s="16"/>
      <c r="F26" s="17"/>
      <c r="G26" s="18"/>
      <c r="H26" s="18"/>
      <c r="I26" s="18"/>
      <c r="J26" s="17"/>
      <c r="K26" s="16"/>
      <c r="L26" s="24"/>
      <c r="M26" s="16"/>
      <c r="N26" s="16"/>
      <c r="P26" s="319"/>
      <c r="Q26" s="319"/>
      <c r="R26" s="319"/>
    </row>
    <row r="27" spans="2:18" ht="16.95" customHeight="1" x14ac:dyDescent="0.25">
      <c r="B27" s="19"/>
      <c r="C27" s="20"/>
      <c r="D27" s="21"/>
      <c r="E27" s="20"/>
      <c r="F27" s="21"/>
      <c r="G27" s="22"/>
      <c r="H27" s="22"/>
      <c r="I27" s="22"/>
      <c r="J27" s="21"/>
      <c r="K27" s="20"/>
      <c r="L27" s="25"/>
      <c r="M27" s="20"/>
      <c r="N27" s="20"/>
      <c r="P27" s="319"/>
      <c r="Q27" s="319"/>
      <c r="R27" s="319"/>
    </row>
    <row r="28" spans="2:18" ht="16.95" customHeight="1" x14ac:dyDescent="0.25">
      <c r="B28" s="15"/>
      <c r="C28" s="16"/>
      <c r="D28" s="17"/>
      <c r="E28" s="16"/>
      <c r="F28" s="17"/>
      <c r="G28" s="18"/>
      <c r="H28" s="18"/>
      <c r="I28" s="18"/>
      <c r="J28" s="17"/>
      <c r="K28" s="16"/>
      <c r="L28" s="24"/>
      <c r="M28" s="16"/>
      <c r="N28" s="16"/>
      <c r="P28" s="319"/>
      <c r="Q28" s="319"/>
      <c r="R28" s="319"/>
    </row>
    <row r="29" spans="2:18" ht="16.95" customHeight="1" x14ac:dyDescent="0.25">
      <c r="B29" s="19"/>
      <c r="C29" s="20"/>
      <c r="D29" s="21"/>
      <c r="E29" s="20"/>
      <c r="F29" s="21"/>
      <c r="G29" s="22"/>
      <c r="H29" s="22"/>
      <c r="I29" s="22"/>
      <c r="J29" s="21"/>
      <c r="K29" s="20"/>
      <c r="L29" s="25"/>
      <c r="M29" s="20"/>
      <c r="N29" s="20"/>
      <c r="P29" s="319"/>
      <c r="Q29" s="319"/>
      <c r="R29" s="319"/>
    </row>
    <row r="30" spans="2:18" ht="16.95" customHeight="1" x14ac:dyDescent="0.25">
      <c r="B30" s="15"/>
      <c r="C30" s="16"/>
      <c r="D30" s="17"/>
      <c r="E30" s="16"/>
      <c r="F30" s="17"/>
      <c r="G30" s="18"/>
      <c r="H30" s="18"/>
      <c r="I30" s="18"/>
      <c r="J30" s="17"/>
      <c r="K30" s="16"/>
      <c r="L30" s="24"/>
      <c r="M30" s="16"/>
      <c r="N30" s="16"/>
      <c r="P30" s="319"/>
      <c r="Q30" s="319"/>
      <c r="R30" s="319"/>
    </row>
    <row r="31" spans="2:18" ht="16.95" customHeight="1" x14ac:dyDescent="0.25">
      <c r="B31" s="19"/>
      <c r="C31" s="20"/>
      <c r="D31" s="21"/>
      <c r="E31" s="20"/>
      <c r="F31" s="21"/>
      <c r="G31" s="22"/>
      <c r="H31" s="22"/>
      <c r="I31" s="22"/>
      <c r="J31" s="21"/>
      <c r="K31" s="20"/>
      <c r="L31" s="25"/>
      <c r="M31" s="20"/>
      <c r="N31" s="20"/>
      <c r="P31" s="319"/>
      <c r="Q31" s="319"/>
      <c r="R31" s="319"/>
    </row>
    <row r="32" spans="2:18" ht="16.95" customHeight="1" x14ac:dyDescent="0.25">
      <c r="B32" s="15"/>
      <c r="C32" s="16"/>
      <c r="D32" s="17"/>
      <c r="E32" s="16"/>
      <c r="F32" s="17"/>
      <c r="G32" s="18"/>
      <c r="H32" s="18"/>
      <c r="I32" s="18"/>
      <c r="J32" s="17"/>
      <c r="K32" s="16"/>
      <c r="L32" s="24"/>
      <c r="M32" s="16"/>
      <c r="N32" s="16"/>
    </row>
    <row r="33" spans="2:14" ht="16.95" customHeight="1" x14ac:dyDescent="0.25">
      <c r="B33" s="19"/>
      <c r="C33" s="20"/>
      <c r="D33" s="21"/>
      <c r="E33" s="20"/>
      <c r="F33" s="21"/>
      <c r="G33" s="22"/>
      <c r="H33" s="22"/>
      <c r="I33" s="22"/>
      <c r="J33" s="21"/>
      <c r="K33" s="20"/>
      <c r="L33" s="25"/>
      <c r="M33" s="20"/>
      <c r="N33" s="20"/>
    </row>
    <row r="34" spans="2:14" ht="16.95" customHeight="1" x14ac:dyDescent="0.25">
      <c r="B34" s="15"/>
      <c r="C34" s="16"/>
      <c r="D34" s="17"/>
      <c r="E34" s="16"/>
      <c r="F34" s="17"/>
      <c r="G34" s="18"/>
      <c r="H34" s="18"/>
      <c r="I34" s="18"/>
      <c r="J34" s="17"/>
      <c r="K34" s="16"/>
      <c r="L34" s="24"/>
      <c r="M34" s="16"/>
      <c r="N34" s="16"/>
    </row>
    <row r="35" spans="2:14" ht="16.95" customHeight="1" x14ac:dyDescent="0.25">
      <c r="B35" s="19"/>
      <c r="C35" s="20"/>
      <c r="D35" s="21"/>
      <c r="E35" s="20"/>
      <c r="F35" s="21"/>
      <c r="G35" s="22"/>
      <c r="H35" s="22"/>
      <c r="I35" s="22"/>
      <c r="J35" s="21"/>
      <c r="K35" s="20"/>
      <c r="L35" s="25"/>
      <c r="M35" s="20"/>
      <c r="N35" s="20"/>
    </row>
    <row r="36" spans="2:14" ht="16.95" customHeight="1" x14ac:dyDescent="0.25">
      <c r="B36" s="15"/>
      <c r="C36" s="16"/>
      <c r="D36" s="17"/>
      <c r="E36" s="16"/>
      <c r="F36" s="17"/>
      <c r="G36" s="18"/>
      <c r="H36" s="18"/>
      <c r="I36" s="18"/>
      <c r="J36" s="17"/>
      <c r="K36" s="16"/>
      <c r="L36" s="24"/>
      <c r="M36" s="16"/>
      <c r="N36" s="16"/>
    </row>
    <row r="37" spans="2:14" ht="16.95" customHeight="1" x14ac:dyDescent="0.25">
      <c r="B37" s="19"/>
      <c r="C37" s="20"/>
      <c r="D37" s="21"/>
      <c r="E37" s="20"/>
      <c r="F37" s="21"/>
      <c r="G37" s="22"/>
      <c r="H37" s="22"/>
      <c r="I37" s="22"/>
      <c r="J37" s="21"/>
      <c r="K37" s="20"/>
      <c r="L37" s="25"/>
      <c r="M37" s="20"/>
      <c r="N37" s="20"/>
    </row>
    <row r="38" spans="2:14" ht="16.95" customHeight="1" x14ac:dyDescent="0.25">
      <c r="B38" s="15"/>
      <c r="C38" s="16"/>
      <c r="D38" s="17"/>
      <c r="E38" s="16"/>
      <c r="F38" s="17"/>
      <c r="G38" s="18"/>
      <c r="H38" s="18"/>
      <c r="I38" s="18"/>
      <c r="J38" s="17"/>
      <c r="K38" s="16"/>
      <c r="L38" s="24"/>
      <c r="M38" s="16"/>
      <c r="N38" s="16"/>
    </row>
    <row r="39" spans="2:14" ht="16.95" customHeight="1" x14ac:dyDescent="0.25">
      <c r="B39" s="19"/>
      <c r="C39" s="20"/>
      <c r="D39" s="21"/>
      <c r="E39" s="20"/>
      <c r="F39" s="21"/>
      <c r="G39" s="22"/>
      <c r="H39" s="22"/>
      <c r="I39" s="22"/>
      <c r="J39" s="21"/>
      <c r="K39" s="20"/>
      <c r="L39" s="25"/>
      <c r="M39" s="20"/>
      <c r="N39" s="20"/>
    </row>
    <row r="40" spans="2:14" ht="16.95" customHeight="1" x14ac:dyDescent="0.25">
      <c r="B40" s="15"/>
      <c r="C40" s="16"/>
      <c r="D40" s="17"/>
      <c r="E40" s="16"/>
      <c r="F40" s="17"/>
      <c r="G40" s="18"/>
      <c r="H40" s="18"/>
      <c r="I40" s="18"/>
      <c r="J40" s="24"/>
      <c r="K40" s="16"/>
      <c r="L40" s="24"/>
      <c r="M40" s="16"/>
      <c r="N40" s="16"/>
    </row>
    <row r="41" spans="2:14" ht="16.95" customHeight="1" x14ac:dyDescent="0.25">
      <c r="B41" s="19"/>
      <c r="C41" s="20"/>
      <c r="D41" s="21"/>
      <c r="E41" s="20"/>
      <c r="F41" s="21"/>
      <c r="G41" s="22"/>
      <c r="H41" s="22"/>
      <c r="I41" s="22"/>
      <c r="J41" s="25"/>
      <c r="K41" s="20"/>
      <c r="L41" s="25"/>
      <c r="M41" s="20"/>
      <c r="N41" s="20"/>
    </row>
    <row r="42" spans="2:14" ht="16.95" customHeight="1" x14ac:dyDescent="0.25">
      <c r="B42" s="15"/>
      <c r="C42" s="16"/>
      <c r="D42" s="17"/>
      <c r="E42" s="16"/>
      <c r="F42" s="17"/>
      <c r="G42" s="18"/>
      <c r="H42" s="18"/>
      <c r="I42" s="18"/>
      <c r="J42" s="24"/>
      <c r="K42" s="16"/>
      <c r="L42" s="24"/>
      <c r="M42" s="16"/>
      <c r="N42" s="16"/>
    </row>
    <row r="43" spans="2:14" ht="16.95" customHeight="1" x14ac:dyDescent="0.25">
      <c r="B43" s="19"/>
      <c r="C43" s="20"/>
      <c r="D43" s="21"/>
      <c r="E43" s="20"/>
      <c r="F43" s="21"/>
      <c r="G43" s="22"/>
      <c r="H43" s="22"/>
      <c r="I43" s="22"/>
      <c r="J43" s="25"/>
      <c r="K43" s="20"/>
      <c r="L43" s="25"/>
      <c r="M43" s="20"/>
      <c r="N43" s="20"/>
    </row>
    <row r="44" spans="2:14" ht="16.95" customHeight="1" x14ac:dyDescent="0.25">
      <c r="B44" s="15"/>
      <c r="C44" s="16"/>
      <c r="D44" s="17"/>
      <c r="E44" s="16"/>
      <c r="F44" s="17"/>
      <c r="G44" s="18"/>
      <c r="H44" s="18"/>
      <c r="I44" s="18"/>
      <c r="J44" s="24"/>
      <c r="K44" s="16"/>
      <c r="L44" s="24"/>
      <c r="M44" s="16"/>
      <c r="N44" s="16"/>
    </row>
    <row r="45" spans="2:14" ht="16.95" customHeight="1" x14ac:dyDescent="0.25">
      <c r="B45" s="19"/>
      <c r="C45" s="20"/>
      <c r="D45" s="21"/>
      <c r="E45" s="20"/>
      <c r="F45" s="21"/>
      <c r="G45" s="22"/>
      <c r="H45" s="22"/>
      <c r="I45" s="22"/>
      <c r="J45" s="25"/>
      <c r="K45" s="20"/>
      <c r="L45" s="25"/>
      <c r="M45" s="20"/>
      <c r="N45" s="20"/>
    </row>
    <row r="46" spans="2:14" ht="16.95" customHeight="1" x14ac:dyDescent="0.25">
      <c r="B46" s="15"/>
      <c r="C46" s="16"/>
      <c r="D46" s="17"/>
      <c r="E46" s="16"/>
      <c r="F46" s="17"/>
      <c r="G46" s="18"/>
      <c r="H46" s="18"/>
      <c r="I46" s="18"/>
      <c r="J46" s="24"/>
      <c r="K46" s="16"/>
      <c r="L46" s="24"/>
      <c r="M46" s="16"/>
      <c r="N46" s="16"/>
    </row>
    <row r="47" spans="2:14" x14ac:dyDescent="0.25">
      <c r="B47" s="19"/>
      <c r="C47" s="20"/>
      <c r="D47" s="21"/>
      <c r="E47" s="20"/>
      <c r="F47" s="21"/>
      <c r="G47" s="22"/>
      <c r="H47" s="22"/>
      <c r="I47" s="22"/>
      <c r="J47" s="25"/>
      <c r="K47" s="20"/>
      <c r="L47" s="25"/>
      <c r="M47" s="20"/>
      <c r="N47" s="20"/>
    </row>
    <row r="48" spans="2:14" x14ac:dyDescent="0.25">
      <c r="B48" s="15"/>
      <c r="C48" s="16"/>
      <c r="D48" s="17"/>
      <c r="E48" s="16"/>
      <c r="F48" s="17"/>
      <c r="G48" s="18"/>
      <c r="H48" s="18"/>
      <c r="I48" s="18"/>
      <c r="J48" s="24"/>
      <c r="K48" s="16"/>
      <c r="L48" s="24"/>
      <c r="M48" s="16"/>
      <c r="N48" s="16"/>
    </row>
    <row r="49" spans="2:14" x14ac:dyDescent="0.25">
      <c r="B49" s="19"/>
      <c r="C49" s="20"/>
      <c r="D49" s="21"/>
      <c r="E49" s="20"/>
      <c r="F49" s="21"/>
      <c r="G49" s="22"/>
      <c r="H49" s="22"/>
      <c r="I49" s="22"/>
      <c r="J49" s="25"/>
      <c r="K49" s="20"/>
      <c r="L49" s="25"/>
      <c r="M49" s="20"/>
      <c r="N49" s="20"/>
    </row>
    <row r="50" spans="2:14" x14ac:dyDescent="0.25">
      <c r="B50" s="15"/>
      <c r="C50" s="16"/>
      <c r="D50" s="17"/>
      <c r="E50" s="16"/>
      <c r="F50" s="17"/>
      <c r="G50" s="18"/>
      <c r="H50" s="18"/>
      <c r="I50" s="18"/>
      <c r="J50" s="24"/>
      <c r="K50" s="16"/>
      <c r="L50" s="24"/>
      <c r="M50" s="16"/>
      <c r="N50" s="16"/>
    </row>
    <row r="51" spans="2:14" x14ac:dyDescent="0.25">
      <c r="B51" s="19"/>
      <c r="C51" s="20"/>
      <c r="D51" s="21"/>
      <c r="E51" s="20"/>
      <c r="F51" s="21"/>
      <c r="G51" s="22"/>
      <c r="H51" s="22"/>
      <c r="I51" s="22"/>
      <c r="J51" s="25"/>
      <c r="K51" s="20"/>
      <c r="L51" s="25"/>
      <c r="M51" s="20"/>
      <c r="N51" s="20"/>
    </row>
    <row r="52" spans="2:14" x14ac:dyDescent="0.25">
      <c r="B52" s="15"/>
      <c r="C52" s="16"/>
      <c r="D52" s="17"/>
      <c r="E52" s="16"/>
      <c r="F52" s="17"/>
      <c r="G52" s="18"/>
      <c r="H52" s="18"/>
      <c r="I52" s="18"/>
      <c r="J52" s="24"/>
      <c r="K52" s="16"/>
      <c r="L52" s="24"/>
      <c r="M52" s="16"/>
      <c r="N52" s="16"/>
    </row>
  </sheetData>
  <sheetProtection sheet="1" formatCells="0" selectLockedCells="1"/>
  <mergeCells count="8">
    <mergeCell ref="A1:O1"/>
    <mergeCell ref="Q4:R4"/>
    <mergeCell ref="Q8:R8"/>
    <mergeCell ref="Q3:R3"/>
    <mergeCell ref="Q7:R7"/>
    <mergeCell ref="Q2:X2"/>
    <mergeCell ref="Q5:R5"/>
    <mergeCell ref="Q6:R6"/>
  </mergeCells>
  <phoneticPr fontId="86" type="noConversion"/>
  <dataValidations count="4">
    <dataValidation type="list" allowBlank="1" showInputMessage="1" showErrorMessage="1" sqref="G3:G52" xr:uid="{00000000-0002-0000-0D00-000004000000}">
      <formula1>"V"</formula1>
    </dataValidation>
    <dataValidation type="list" allowBlank="1" showInputMessage="1" showErrorMessage="1" sqref="H3:H52" xr:uid="{00000000-0002-0000-0D00-000005000000}">
      <formula1>"S"</formula1>
    </dataValidation>
    <dataValidation type="list" allowBlank="1" showInputMessage="1" showErrorMessage="1" sqref="I3:I52" xr:uid="{00000000-0002-0000-0D00-000006000000}">
      <formula1>"M"</formula1>
    </dataValidation>
    <dataValidation type="list" allowBlank="1" showInputMessage="1" sqref="M3:N52" xr:uid="{00000000-0002-0000-0D00-000008000000}">
      <formula1>"√"</formula1>
    </dataValidation>
  </dataValidations>
  <pageMargins left="0.75" right="0.75" top="1" bottom="1" header="0.51180555555555596" footer="0.51180555555555596"/>
  <legacyDrawing r:id="rId1"/>
  <extLst>
    <ext xmlns:x14="http://schemas.microsoft.com/office/spreadsheetml/2009/9/main" uri="{CCE6A557-97BC-4b89-ADB6-D9C93CAAB3DF}">
      <x14:dataValidations xmlns:xm="http://schemas.microsoft.com/office/excel/2006/main" count="8">
        <x14:dataValidation type="list" allowBlank="1" showInputMessage="1" xr:uid="{00000000-0002-0000-0D00-000000000000}">
          <x14:formula1>
            <xm:f>数据表!$O$19:$O$28</xm:f>
          </x14:formula1>
          <xm:sqref>B3:B52</xm:sqref>
        </x14:dataValidation>
        <x14:dataValidation type="list" allowBlank="1" showInputMessage="1" xr:uid="{00000000-0002-0000-0D00-000001000000}">
          <x14:formula1>
            <xm:f>数据表!$R$19:$R$35</xm:f>
          </x14:formula1>
          <xm:sqref>D3:D52</xm:sqref>
        </x14:dataValidation>
        <x14:dataValidation type="list" allowBlank="1" showInputMessage="1" showErrorMessage="1" xr:uid="{00000000-0002-0000-0D00-000002000000}">
          <x14:formula1>
            <xm:f>数据表!$P$19:$P$26</xm:f>
          </x14:formula1>
          <xm:sqref>E3:E52</xm:sqref>
        </x14:dataValidation>
        <x14:dataValidation type="list" allowBlank="1" showInputMessage="1" xr:uid="{00000000-0002-0000-0D00-000003000000}">
          <x14:formula1>
            <xm:f>数据表!$Q$19:$Q$26</xm:f>
          </x14:formula1>
          <xm:sqref>F3:F52</xm:sqref>
        </x14:dataValidation>
        <x14:dataValidation type="list" allowBlank="1" showInputMessage="1" xr:uid="{00000000-0002-0000-0D00-000007000000}">
          <x14:formula1>
            <xm:f>数据表!$S$19:$S$36</xm:f>
          </x14:formula1>
          <xm:sqref>K3:K52</xm:sqref>
        </x14:dataValidation>
        <x14:dataValidation type="list" allowBlank="1" showInputMessage="1" xr:uid="{AB4CF49B-CAAD-405D-8407-98599CFDB26F}">
          <x14:formula1>
            <xm:f>装备!$F$14:$F$26</xm:f>
          </x14:formula1>
          <xm:sqref>T4 T6 T8</xm:sqref>
        </x14:dataValidation>
        <x14:dataValidation type="list" allowBlank="1" showInputMessage="1" xr:uid="{D55FBC41-6DB1-4FD3-85EA-57F66C7E79DA}">
          <x14:formula1>
            <xm:f>装备!$D$9:$D$16</xm:f>
          </x14:formula1>
          <xm:sqref>V4 V6 V8</xm:sqref>
        </x14:dataValidation>
        <x14:dataValidation type="list" allowBlank="1" showInputMessage="1" xr:uid="{5DD6EC54-6CE7-41D4-9C40-457A2E1A3282}">
          <x14:formula1>
            <xm:f>装备!$D$18:$D$23</xm:f>
          </x14:formula1>
          <xm:sqref>X4 X6 X8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ECD1E-B941-4FAD-A7DA-5334B8E96931}">
  <sheetPr>
    <tabColor rgb="FFFFFFCC"/>
  </sheetPr>
  <dimension ref="A1:BI71"/>
  <sheetViews>
    <sheetView zoomScale="85" zoomScaleNormal="85" workbookViewId="0">
      <selection activeCell="AA19" sqref="AA19"/>
    </sheetView>
  </sheetViews>
  <sheetFormatPr defaultColWidth="3.88671875" defaultRowHeight="21" customHeight="1" x14ac:dyDescent="0.25"/>
  <cols>
    <col min="1" max="16384" width="3.88671875" style="369"/>
  </cols>
  <sheetData>
    <row r="1" spans="1:61" ht="21" customHeight="1" x14ac:dyDescent="0.25">
      <c r="A1" s="797" t="s">
        <v>4711</v>
      </c>
      <c r="B1" s="797"/>
      <c r="C1" s="797"/>
      <c r="D1" s="797"/>
      <c r="E1" s="797"/>
      <c r="F1" s="797"/>
      <c r="G1" s="797"/>
      <c r="H1" s="797"/>
      <c r="I1" s="797"/>
      <c r="J1" s="797"/>
      <c r="L1" s="797" t="s">
        <v>4700</v>
      </c>
      <c r="M1" s="797"/>
      <c r="N1" s="797"/>
      <c r="O1" s="797"/>
      <c r="P1" s="797"/>
      <c r="Q1" s="797"/>
      <c r="R1" s="797"/>
      <c r="S1" s="797"/>
      <c r="AA1" s="797" t="s">
        <v>4710</v>
      </c>
      <c r="AB1" s="797"/>
      <c r="AC1" s="797"/>
      <c r="AD1" s="797"/>
      <c r="AE1" s="797"/>
      <c r="AF1" s="797"/>
      <c r="AG1" s="797"/>
      <c r="AI1" s="797" t="s">
        <v>4709</v>
      </c>
      <c r="AJ1" s="797"/>
      <c r="AK1" s="797"/>
      <c r="AL1" s="797"/>
      <c r="AM1" s="797"/>
      <c r="AT1" s="369" t="s">
        <v>4712</v>
      </c>
      <c r="AW1" s="370" t="s">
        <v>4713</v>
      </c>
      <c r="AX1" s="370"/>
      <c r="AY1" s="370"/>
      <c r="AZ1" s="370" t="s">
        <v>4714</v>
      </c>
      <c r="BA1" s="370"/>
      <c r="BC1" s="369" t="s">
        <v>4715</v>
      </c>
      <c r="BF1" s="369" t="s">
        <v>4716</v>
      </c>
      <c r="BI1" s="369" t="s">
        <v>4717</v>
      </c>
    </row>
    <row r="2" spans="1:61" ht="21" customHeight="1" x14ac:dyDescent="0.25">
      <c r="B2" s="371"/>
      <c r="C2" s="371"/>
      <c r="D2" s="371"/>
      <c r="G2" s="798" t="s">
        <v>4708</v>
      </c>
      <c r="H2" s="798"/>
      <c r="I2" s="798"/>
      <c r="J2" s="798"/>
      <c r="N2" s="371"/>
      <c r="O2" s="371"/>
      <c r="P2" s="371"/>
      <c r="Q2" s="370"/>
      <c r="R2" s="370"/>
      <c r="AA2" s="371"/>
      <c r="AB2" s="371"/>
      <c r="AI2" s="797" t="s">
        <v>4705</v>
      </c>
      <c r="AJ2" s="797"/>
      <c r="AK2" s="797"/>
      <c r="AL2" s="797"/>
      <c r="AM2" s="797"/>
      <c r="AQ2" s="372"/>
      <c r="AR2" s="373"/>
      <c r="AS2" s="373"/>
      <c r="AT2" s="373"/>
      <c r="AU2" s="374"/>
      <c r="AV2" s="374"/>
      <c r="AW2" s="374"/>
      <c r="AX2" s="375"/>
      <c r="AY2" s="375"/>
      <c r="AZ2" s="375"/>
      <c r="BA2" s="376"/>
      <c r="BB2" s="376"/>
      <c r="BC2" s="376"/>
      <c r="BD2" s="377"/>
      <c r="BE2" s="377"/>
      <c r="BF2" s="377"/>
      <c r="BG2" s="371"/>
      <c r="BH2" s="371"/>
      <c r="BI2" s="371"/>
    </row>
    <row r="3" spans="1:61" ht="21" customHeight="1" x14ac:dyDescent="0.25">
      <c r="A3" s="371"/>
      <c r="B3" s="371"/>
      <c r="C3" s="371"/>
      <c r="D3" s="371"/>
      <c r="E3" s="371"/>
      <c r="G3" s="798"/>
      <c r="H3" s="798"/>
      <c r="I3" s="798"/>
      <c r="J3" s="798"/>
      <c r="M3" s="371"/>
      <c r="N3" s="371"/>
      <c r="O3" s="371"/>
      <c r="P3" s="371"/>
      <c r="Q3" s="371"/>
      <c r="AA3" s="371"/>
      <c r="AB3" s="371"/>
      <c r="AL3" s="370"/>
      <c r="AR3" s="373"/>
      <c r="AS3" s="373"/>
      <c r="AT3" s="373"/>
      <c r="AU3" s="374"/>
      <c r="AV3" s="374"/>
      <c r="AW3" s="374"/>
      <c r="AX3" s="375"/>
      <c r="AY3" s="375"/>
      <c r="AZ3" s="375"/>
      <c r="BA3" s="376"/>
      <c r="BB3" s="376"/>
      <c r="BC3" s="376"/>
      <c r="BD3" s="377"/>
      <c r="BE3" s="377"/>
      <c r="BF3" s="377"/>
      <c r="BG3" s="371"/>
      <c r="BH3" s="371"/>
      <c r="BI3" s="371"/>
    </row>
    <row r="4" spans="1:61" ht="21" customHeight="1" x14ac:dyDescent="0.25">
      <c r="A4" s="371"/>
      <c r="B4" s="371"/>
      <c r="C4" s="368" t="s">
        <v>4698</v>
      </c>
      <c r="D4" s="371"/>
      <c r="E4" s="371"/>
      <c r="G4" s="798"/>
      <c r="H4" s="798"/>
      <c r="I4" s="798"/>
      <c r="J4" s="798"/>
      <c r="L4" s="371"/>
      <c r="M4" s="371"/>
      <c r="N4" s="371"/>
      <c r="O4" s="371"/>
      <c r="P4" s="371"/>
      <c r="Q4" s="371"/>
      <c r="R4" s="371"/>
      <c r="AI4" s="797" t="s">
        <v>4707</v>
      </c>
      <c r="AJ4" s="797"/>
      <c r="AK4" s="797"/>
      <c r="AL4" s="797"/>
      <c r="AM4" s="797"/>
      <c r="AN4" s="797"/>
      <c r="AO4" s="797"/>
      <c r="AP4" s="797"/>
      <c r="AR4" s="370"/>
      <c r="AS4" s="373"/>
      <c r="AT4" s="374"/>
      <c r="AU4" s="374"/>
      <c r="AV4" s="374"/>
      <c r="AW4" s="375"/>
      <c r="AX4" s="375"/>
      <c r="AY4" s="375"/>
      <c r="AZ4" s="376"/>
      <c r="BA4" s="376"/>
      <c r="BB4" s="376"/>
      <c r="BC4" s="377"/>
      <c r="BD4" s="377"/>
      <c r="BE4" s="377"/>
      <c r="BF4" s="371"/>
      <c r="BG4" s="371"/>
      <c r="BH4" s="371"/>
    </row>
    <row r="5" spans="1:61" ht="21" customHeight="1" x14ac:dyDescent="0.25">
      <c r="A5" s="371"/>
      <c r="B5" s="371"/>
      <c r="C5" s="371"/>
      <c r="D5" s="371"/>
      <c r="E5" s="371"/>
      <c r="G5" s="798"/>
      <c r="H5" s="798"/>
      <c r="I5" s="798"/>
      <c r="J5" s="798"/>
      <c r="L5" s="371"/>
      <c r="M5" s="371"/>
      <c r="N5" s="371"/>
      <c r="O5" s="368" t="s">
        <v>4698</v>
      </c>
      <c r="P5" s="371"/>
      <c r="Q5" s="371"/>
      <c r="R5" s="371"/>
      <c r="AA5" s="797" t="s">
        <v>4706</v>
      </c>
      <c r="AB5" s="797"/>
      <c r="AC5" s="797"/>
      <c r="AD5" s="797"/>
      <c r="AE5" s="797"/>
      <c r="AF5" s="797"/>
      <c r="AG5" s="797"/>
      <c r="AI5" s="797" t="s">
        <v>4705</v>
      </c>
      <c r="AJ5" s="797"/>
      <c r="AK5" s="797"/>
      <c r="AL5" s="797"/>
      <c r="AM5" s="797"/>
      <c r="AR5" s="370"/>
      <c r="AS5" s="370"/>
      <c r="AT5" s="374"/>
      <c r="AU5" s="374"/>
      <c r="AV5" s="374"/>
      <c r="AW5" s="375"/>
      <c r="AX5" s="375"/>
      <c r="AY5" s="375"/>
      <c r="AZ5" s="376"/>
      <c r="BA5" s="376"/>
      <c r="BB5" s="376"/>
      <c r="BC5" s="377"/>
      <c r="BD5" s="377"/>
      <c r="BE5" s="377"/>
      <c r="BF5" s="371"/>
      <c r="BG5" s="371"/>
      <c r="BH5" s="371"/>
    </row>
    <row r="6" spans="1:61" ht="21" customHeight="1" x14ac:dyDescent="0.25">
      <c r="B6" s="371"/>
      <c r="C6" s="371"/>
      <c r="D6" s="371"/>
      <c r="L6" s="371"/>
      <c r="M6" s="371"/>
      <c r="N6" s="371"/>
      <c r="O6" s="371"/>
      <c r="P6" s="371"/>
      <c r="Q6" s="371"/>
      <c r="R6" s="371"/>
      <c r="AB6" s="371"/>
      <c r="AC6" s="371"/>
      <c r="AR6" s="370"/>
      <c r="AS6" s="370"/>
      <c r="AT6" s="370"/>
      <c r="AU6" s="374"/>
      <c r="AV6" s="375"/>
      <c r="AW6" s="375"/>
      <c r="AX6" s="375"/>
      <c r="AY6" s="376"/>
      <c r="AZ6" s="376"/>
      <c r="BA6" s="376"/>
      <c r="BB6" s="377"/>
      <c r="BC6" s="377"/>
      <c r="BD6" s="377"/>
      <c r="BE6" s="371"/>
      <c r="BF6" s="371"/>
      <c r="BG6" s="371"/>
    </row>
    <row r="7" spans="1:61" ht="21" customHeight="1" x14ac:dyDescent="0.25">
      <c r="M7" s="371"/>
      <c r="N7" s="371"/>
      <c r="O7" s="371"/>
      <c r="P7" s="371"/>
      <c r="Q7" s="371"/>
      <c r="R7" s="370"/>
      <c r="AA7" s="371"/>
      <c r="AB7" s="371"/>
      <c r="AC7" s="371"/>
      <c r="AD7" s="371"/>
      <c r="AR7" s="370"/>
      <c r="AS7" s="370"/>
      <c r="AT7" s="370"/>
      <c r="AU7" s="370"/>
      <c r="AV7" s="375"/>
      <c r="AW7" s="375"/>
      <c r="AX7" s="375"/>
      <c r="AY7" s="376"/>
      <c r="AZ7" s="376"/>
      <c r="BA7" s="376"/>
      <c r="BB7" s="377"/>
      <c r="BC7" s="377"/>
      <c r="BD7" s="377"/>
      <c r="BE7" s="371"/>
      <c r="BF7" s="371"/>
      <c r="BG7" s="371"/>
    </row>
    <row r="8" spans="1:61" ht="21" customHeight="1" x14ac:dyDescent="0.25">
      <c r="A8" s="797" t="s">
        <v>4704</v>
      </c>
      <c r="B8" s="797"/>
      <c r="C8" s="797"/>
      <c r="D8" s="797"/>
      <c r="E8" s="797"/>
      <c r="F8" s="797"/>
      <c r="N8" s="371"/>
      <c r="O8" s="371"/>
      <c r="P8" s="371"/>
      <c r="Q8" s="370"/>
      <c r="R8" s="370"/>
      <c r="AA8" s="371"/>
      <c r="AB8" s="371"/>
      <c r="AC8" s="371"/>
      <c r="AD8" s="371"/>
      <c r="AJ8" s="797" t="s">
        <v>4701</v>
      </c>
      <c r="AK8" s="797"/>
      <c r="AL8" s="797"/>
      <c r="AM8" s="797"/>
      <c r="AN8" s="797"/>
      <c r="AO8" s="797"/>
      <c r="AP8" s="797"/>
      <c r="AQ8" s="797"/>
      <c r="AR8" s="370"/>
      <c r="AS8" s="370"/>
      <c r="AT8" s="370"/>
      <c r="AU8" s="370"/>
      <c r="AV8" s="370"/>
      <c r="AW8" s="375"/>
      <c r="AX8" s="376"/>
      <c r="AY8" s="376"/>
      <c r="AZ8" s="376"/>
      <c r="BA8" s="377"/>
      <c r="BB8" s="377"/>
      <c r="BC8" s="377"/>
      <c r="BD8" s="371"/>
      <c r="BE8" s="371"/>
      <c r="BF8" s="371"/>
    </row>
    <row r="9" spans="1:61" ht="21" customHeight="1" x14ac:dyDescent="0.25">
      <c r="B9" s="371"/>
      <c r="C9" s="371"/>
      <c r="D9" s="371"/>
      <c r="E9" s="371"/>
      <c r="AB9" s="371"/>
      <c r="AC9" s="371"/>
      <c r="AL9" s="371"/>
      <c r="AM9" s="371"/>
      <c r="AN9" s="371"/>
      <c r="AO9" s="371"/>
      <c r="AR9" s="370"/>
      <c r="AS9" s="370"/>
      <c r="AT9" s="370"/>
      <c r="AU9" s="370"/>
      <c r="AV9" s="370"/>
      <c r="AW9" s="370"/>
      <c r="AX9" s="376"/>
      <c r="AY9" s="376"/>
      <c r="AZ9" s="376"/>
      <c r="BA9" s="377"/>
      <c r="BB9" s="377"/>
      <c r="BC9" s="377"/>
      <c r="BD9" s="371"/>
      <c r="BE9" s="371"/>
      <c r="BF9" s="371"/>
    </row>
    <row r="10" spans="1:61" ht="21" customHeight="1" x14ac:dyDescent="0.25">
      <c r="A10" s="371"/>
      <c r="B10" s="371"/>
      <c r="C10" s="371"/>
      <c r="D10" s="371"/>
      <c r="E10" s="371"/>
      <c r="F10" s="371"/>
      <c r="L10" s="797" t="s">
        <v>4699</v>
      </c>
      <c r="M10" s="797"/>
      <c r="N10" s="797"/>
      <c r="O10" s="797"/>
      <c r="P10" s="797"/>
      <c r="Q10" s="797"/>
      <c r="R10" s="797"/>
      <c r="S10" s="797"/>
      <c r="T10" s="797"/>
      <c r="U10" s="797"/>
      <c r="V10" s="797"/>
      <c r="W10" s="797"/>
      <c r="X10" s="797"/>
      <c r="AK10" s="371"/>
      <c r="AL10" s="371"/>
      <c r="AM10" s="371"/>
      <c r="AN10" s="371"/>
      <c r="AO10" s="371"/>
      <c r="AP10" s="371"/>
      <c r="AR10" s="370"/>
      <c r="AS10" s="370"/>
      <c r="AT10" s="370"/>
      <c r="AU10" s="370"/>
      <c r="AV10" s="370"/>
      <c r="AW10" s="370"/>
      <c r="AX10" s="370"/>
      <c r="AY10" s="376"/>
      <c r="AZ10" s="377"/>
      <c r="BA10" s="377"/>
      <c r="BB10" s="377"/>
      <c r="BC10" s="371"/>
      <c r="BD10" s="371"/>
      <c r="BE10" s="371"/>
    </row>
    <row r="11" spans="1:61" ht="21" customHeight="1" x14ac:dyDescent="0.25">
      <c r="A11" s="371"/>
      <c r="B11" s="371"/>
      <c r="C11" s="368" t="s">
        <v>4698</v>
      </c>
      <c r="D11" s="368" t="s">
        <v>4698</v>
      </c>
      <c r="E11" s="371"/>
      <c r="F11" s="371"/>
      <c r="P11" s="371"/>
      <c r="Q11" s="371"/>
      <c r="R11" s="371"/>
      <c r="S11" s="371"/>
      <c r="T11" s="371"/>
      <c r="AA11" s="797" t="s">
        <v>4703</v>
      </c>
      <c r="AB11" s="797"/>
      <c r="AC11" s="797"/>
      <c r="AD11" s="797"/>
      <c r="AE11" s="797"/>
      <c r="AF11" s="797"/>
      <c r="AJ11" s="371"/>
      <c r="AK11" s="371"/>
      <c r="AL11" s="371"/>
      <c r="AM11" s="371"/>
      <c r="AN11" s="371"/>
      <c r="AO11" s="371"/>
      <c r="AP11" s="371"/>
      <c r="AQ11" s="371"/>
      <c r="AR11" s="370"/>
      <c r="AS11" s="370"/>
      <c r="AT11" s="370"/>
      <c r="AU11" s="370"/>
      <c r="AV11" s="370"/>
      <c r="AW11" s="370"/>
      <c r="AX11" s="370"/>
      <c r="AY11" s="370"/>
      <c r="AZ11" s="377"/>
      <c r="BA11" s="377"/>
      <c r="BB11" s="377"/>
      <c r="BC11" s="371"/>
      <c r="BD11" s="371"/>
      <c r="BE11" s="371"/>
    </row>
    <row r="12" spans="1:61" ht="21" customHeight="1" x14ac:dyDescent="0.25">
      <c r="A12" s="371"/>
      <c r="B12" s="371"/>
      <c r="C12" s="368" t="s">
        <v>4698</v>
      </c>
      <c r="D12" s="368" t="s">
        <v>4698</v>
      </c>
      <c r="E12" s="371"/>
      <c r="F12" s="371"/>
      <c r="N12" s="371"/>
      <c r="O12" s="371"/>
      <c r="P12" s="371"/>
      <c r="Q12" s="371"/>
      <c r="R12" s="371"/>
      <c r="S12" s="371"/>
      <c r="T12" s="371"/>
      <c r="U12" s="371"/>
      <c r="V12" s="371"/>
      <c r="AB12" s="371"/>
      <c r="AC12" s="371"/>
      <c r="AD12" s="371"/>
      <c r="AE12" s="371"/>
      <c r="AJ12" s="371"/>
      <c r="AK12" s="371"/>
      <c r="AL12" s="371"/>
      <c r="AM12" s="371"/>
      <c r="AN12" s="371"/>
      <c r="AO12" s="371"/>
      <c r="AP12" s="371"/>
      <c r="AQ12" s="371"/>
      <c r="AR12" s="370"/>
      <c r="AS12" s="370"/>
      <c r="AT12" s="370"/>
      <c r="AU12" s="370"/>
      <c r="AV12" s="370"/>
      <c r="AW12" s="370"/>
      <c r="AX12" s="370"/>
      <c r="AY12" s="370"/>
      <c r="AZ12" s="370"/>
      <c r="BA12" s="377"/>
      <c r="BB12" s="371"/>
      <c r="BC12" s="371"/>
      <c r="BD12" s="371"/>
    </row>
    <row r="13" spans="1:61" ht="21" customHeight="1" x14ac:dyDescent="0.25">
      <c r="A13" s="371"/>
      <c r="B13" s="371"/>
      <c r="C13" s="371"/>
      <c r="D13" s="371"/>
      <c r="E13" s="371"/>
      <c r="F13" s="371"/>
      <c r="M13" s="371"/>
      <c r="N13" s="371"/>
      <c r="O13" s="371"/>
      <c r="P13" s="371"/>
      <c r="Q13" s="371"/>
      <c r="R13" s="371"/>
      <c r="S13" s="371"/>
      <c r="T13" s="371"/>
      <c r="U13" s="371"/>
      <c r="V13" s="371"/>
      <c r="W13" s="371"/>
      <c r="AA13" s="371"/>
      <c r="AB13" s="371"/>
      <c r="AC13" s="371"/>
      <c r="AD13" s="371"/>
      <c r="AE13" s="371"/>
      <c r="AF13" s="371"/>
      <c r="AJ13" s="371"/>
      <c r="AK13" s="371"/>
      <c r="AL13" s="371"/>
      <c r="AM13" s="371"/>
      <c r="AN13" s="371"/>
      <c r="AO13" s="371"/>
      <c r="AP13" s="371"/>
      <c r="AQ13" s="371"/>
      <c r="AR13" s="370"/>
      <c r="AS13" s="370"/>
      <c r="AT13" s="370"/>
      <c r="AU13" s="370"/>
      <c r="AV13" s="370"/>
      <c r="AW13" s="370"/>
      <c r="AX13" s="370"/>
      <c r="AY13" s="370"/>
      <c r="BB13" s="371"/>
      <c r="BC13" s="371"/>
      <c r="BD13" s="371"/>
    </row>
    <row r="14" spans="1:61" ht="21" customHeight="1" x14ac:dyDescent="0.25">
      <c r="B14" s="371"/>
      <c r="C14" s="371"/>
      <c r="D14" s="371"/>
      <c r="E14" s="371"/>
      <c r="M14" s="371"/>
      <c r="N14" s="371"/>
      <c r="O14" s="371"/>
      <c r="P14" s="371"/>
      <c r="Q14" s="371"/>
      <c r="R14" s="371"/>
      <c r="S14" s="371"/>
      <c r="T14" s="371"/>
      <c r="U14" s="371"/>
      <c r="V14" s="371"/>
      <c r="W14" s="371"/>
      <c r="AA14" s="371"/>
      <c r="AB14" s="371"/>
      <c r="AC14" s="371"/>
      <c r="AD14" s="371"/>
      <c r="AE14" s="371"/>
      <c r="AF14" s="371"/>
      <c r="AJ14" s="371"/>
      <c r="AK14" s="371"/>
      <c r="AL14" s="371"/>
      <c r="AM14" s="371"/>
      <c r="AN14" s="371"/>
      <c r="AO14" s="371"/>
      <c r="AP14" s="371"/>
      <c r="AQ14" s="371"/>
      <c r="AR14" s="370"/>
      <c r="AS14" s="370"/>
      <c r="AT14" s="370"/>
      <c r="AU14" s="370"/>
      <c r="AV14" s="370"/>
      <c r="AW14" s="370"/>
      <c r="AX14" s="370"/>
      <c r="AY14" s="370"/>
      <c r="BC14" s="371"/>
    </row>
    <row r="15" spans="1:61" ht="21" customHeight="1" x14ac:dyDescent="0.25">
      <c r="L15" s="371"/>
      <c r="M15" s="371"/>
      <c r="N15" s="371"/>
      <c r="O15" s="371"/>
      <c r="P15" s="371"/>
      <c r="Q15" s="371"/>
      <c r="R15" s="371"/>
      <c r="S15" s="371"/>
      <c r="T15" s="371"/>
      <c r="U15" s="371"/>
      <c r="V15" s="371"/>
      <c r="W15" s="371"/>
      <c r="X15" s="371"/>
      <c r="AA15" s="371"/>
      <c r="AB15" s="371"/>
      <c r="AC15" s="371"/>
      <c r="AD15" s="371"/>
      <c r="AE15" s="371"/>
      <c r="AF15" s="371"/>
      <c r="AK15" s="371"/>
      <c r="AL15" s="371"/>
      <c r="AM15" s="371"/>
      <c r="AN15" s="371"/>
      <c r="AO15" s="371"/>
      <c r="AP15" s="371"/>
    </row>
    <row r="16" spans="1:61" ht="21" customHeight="1" x14ac:dyDescent="0.25">
      <c r="A16" s="797" t="s">
        <v>4702</v>
      </c>
      <c r="B16" s="797"/>
      <c r="C16" s="797"/>
      <c r="D16" s="797"/>
      <c r="E16" s="797"/>
      <c r="F16" s="797"/>
      <c r="G16" s="797"/>
      <c r="L16" s="371"/>
      <c r="M16" s="371"/>
      <c r="N16" s="371"/>
      <c r="O16" s="371"/>
      <c r="P16" s="371"/>
      <c r="Q16" s="371"/>
      <c r="R16" s="371"/>
      <c r="S16" s="371"/>
      <c r="T16" s="371"/>
      <c r="U16" s="371"/>
      <c r="V16" s="371"/>
      <c r="W16" s="371"/>
      <c r="X16" s="371"/>
      <c r="AA16" s="371"/>
      <c r="AB16" s="371"/>
      <c r="AC16" s="371"/>
      <c r="AD16" s="371"/>
      <c r="AE16" s="371"/>
      <c r="AF16" s="371"/>
      <c r="AL16" s="371"/>
      <c r="AM16" s="371"/>
      <c r="AN16" s="371"/>
      <c r="AO16" s="371"/>
    </row>
    <row r="17" spans="1:53" ht="21" customHeight="1" x14ac:dyDescent="0.25">
      <c r="B17" s="371"/>
      <c r="C17" s="371"/>
      <c r="D17" s="371"/>
      <c r="E17" s="371"/>
      <c r="F17" s="371"/>
      <c r="L17" s="371"/>
      <c r="M17" s="371"/>
      <c r="N17" s="371"/>
      <c r="O17" s="371"/>
      <c r="P17" s="371"/>
      <c r="Q17" s="371"/>
      <c r="R17" s="368" t="s">
        <v>4698</v>
      </c>
      <c r="S17" s="371"/>
      <c r="T17" s="371"/>
      <c r="U17" s="371"/>
      <c r="V17" s="371"/>
      <c r="W17" s="371"/>
      <c r="X17" s="371"/>
      <c r="AB17" s="371"/>
      <c r="AC17" s="371"/>
      <c r="AD17" s="371"/>
      <c r="AE17" s="371"/>
    </row>
    <row r="18" spans="1:53" ht="21" customHeight="1" x14ac:dyDescent="0.25">
      <c r="A18" s="371"/>
      <c r="B18" s="371"/>
      <c r="C18" s="371"/>
      <c r="D18" s="371"/>
      <c r="E18" s="371"/>
      <c r="F18" s="371"/>
      <c r="G18" s="371"/>
      <c r="L18" s="371"/>
      <c r="M18" s="371"/>
      <c r="N18" s="371"/>
      <c r="O18" s="371"/>
      <c r="P18" s="371"/>
      <c r="Q18" s="371"/>
      <c r="R18" s="371"/>
      <c r="S18" s="371"/>
      <c r="T18" s="371"/>
      <c r="U18" s="371"/>
      <c r="V18" s="371"/>
      <c r="W18" s="371"/>
      <c r="X18" s="371"/>
    </row>
    <row r="19" spans="1:53" ht="21" customHeight="1" x14ac:dyDescent="0.25">
      <c r="A19" s="371"/>
      <c r="B19" s="371"/>
      <c r="C19" s="368" t="s">
        <v>4698</v>
      </c>
      <c r="D19" s="368"/>
      <c r="E19" s="368" t="s">
        <v>4698</v>
      </c>
      <c r="F19" s="371"/>
      <c r="G19" s="371"/>
      <c r="L19" s="371"/>
      <c r="M19" s="371"/>
      <c r="N19" s="371"/>
      <c r="O19" s="371"/>
      <c r="P19" s="371"/>
      <c r="Q19" s="371"/>
      <c r="R19" s="371"/>
      <c r="S19" s="371"/>
      <c r="T19" s="371"/>
      <c r="U19" s="371"/>
      <c r="V19" s="371"/>
      <c r="W19" s="371"/>
      <c r="X19" s="371"/>
    </row>
    <row r="20" spans="1:53" ht="21" customHeight="1" x14ac:dyDescent="0.25">
      <c r="A20" s="371"/>
      <c r="B20" s="371"/>
      <c r="C20" s="368"/>
      <c r="D20" s="368"/>
      <c r="E20" s="368"/>
      <c r="F20" s="371"/>
      <c r="G20" s="371"/>
      <c r="M20" s="371"/>
      <c r="N20" s="371"/>
      <c r="O20" s="371"/>
      <c r="P20" s="371"/>
      <c r="Q20" s="371"/>
      <c r="R20" s="371"/>
      <c r="S20" s="371"/>
      <c r="T20" s="371"/>
      <c r="U20" s="371"/>
      <c r="V20" s="371"/>
      <c r="W20" s="371"/>
    </row>
    <row r="21" spans="1:53" ht="21" customHeight="1" x14ac:dyDescent="0.25">
      <c r="A21" s="371"/>
      <c r="B21" s="371"/>
      <c r="C21" s="368" t="s">
        <v>4698</v>
      </c>
      <c r="D21" s="368"/>
      <c r="E21" s="368" t="s">
        <v>4698</v>
      </c>
      <c r="F21" s="371"/>
      <c r="G21" s="371"/>
      <c r="M21" s="371"/>
      <c r="N21" s="371"/>
      <c r="O21" s="371"/>
      <c r="P21" s="371"/>
      <c r="Q21" s="371"/>
      <c r="R21" s="371"/>
      <c r="S21" s="371"/>
      <c r="T21" s="371"/>
      <c r="U21" s="371"/>
      <c r="V21" s="371"/>
      <c r="W21" s="371"/>
    </row>
    <row r="22" spans="1:53" ht="21" customHeight="1" x14ac:dyDescent="0.25">
      <c r="A22" s="371"/>
      <c r="B22" s="371"/>
      <c r="C22" s="371"/>
      <c r="D22" s="371"/>
      <c r="E22" s="371"/>
      <c r="F22" s="371"/>
      <c r="G22" s="371"/>
      <c r="N22" s="371"/>
      <c r="O22" s="371"/>
      <c r="P22" s="371"/>
      <c r="Q22" s="371"/>
      <c r="R22" s="371"/>
      <c r="S22" s="371"/>
      <c r="T22" s="371"/>
      <c r="U22" s="371"/>
      <c r="V22" s="371"/>
    </row>
    <row r="23" spans="1:53" ht="21" customHeight="1" x14ac:dyDescent="0.25">
      <c r="B23" s="371"/>
      <c r="C23" s="371"/>
      <c r="D23" s="371"/>
      <c r="E23" s="371"/>
      <c r="F23" s="371"/>
      <c r="P23" s="371"/>
      <c r="Q23" s="371"/>
      <c r="R23" s="371"/>
      <c r="S23" s="371"/>
      <c r="T23" s="371"/>
    </row>
    <row r="28" spans="1:53" ht="21" customHeight="1" x14ac:dyDescent="0.25">
      <c r="AP28" s="370"/>
      <c r="AQ28" s="370"/>
      <c r="AR28" s="370"/>
      <c r="AS28" s="370"/>
      <c r="AT28" s="370"/>
      <c r="AU28" s="370"/>
      <c r="AV28" s="370"/>
      <c r="AW28" s="370"/>
      <c r="AX28" s="370"/>
      <c r="AY28" s="370"/>
      <c r="AZ28" s="370"/>
      <c r="BA28" s="370"/>
    </row>
    <row r="29" spans="1:53" ht="21" customHeight="1" x14ac:dyDescent="0.25">
      <c r="AP29" s="370"/>
      <c r="AQ29" s="370"/>
      <c r="AR29" s="370"/>
      <c r="AS29" s="370"/>
      <c r="AT29" s="370"/>
      <c r="AU29" s="370"/>
      <c r="AV29" s="370"/>
      <c r="AW29" s="370"/>
      <c r="AX29" s="370"/>
      <c r="AY29" s="370"/>
      <c r="AZ29" s="370"/>
      <c r="BA29" s="370"/>
    </row>
    <row r="30" spans="1:53" ht="21" customHeight="1" x14ac:dyDescent="0.25">
      <c r="AT30" s="370"/>
      <c r="AU30" s="370"/>
      <c r="AV30" s="370"/>
      <c r="AW30" s="370"/>
      <c r="AX30" s="370"/>
      <c r="AY30" s="370"/>
      <c r="AZ30" s="370"/>
      <c r="BA30" s="370"/>
    </row>
    <row r="31" spans="1:53" ht="21" customHeight="1" x14ac:dyDescent="0.25">
      <c r="AT31" s="370"/>
      <c r="AU31" s="370"/>
      <c r="AV31" s="370"/>
      <c r="AW31" s="370"/>
      <c r="AX31" s="370"/>
      <c r="AY31" s="370"/>
      <c r="AZ31" s="370"/>
      <c r="BA31" s="370"/>
    </row>
    <row r="32" spans="1:53" ht="21" customHeight="1" x14ac:dyDescent="0.25">
      <c r="AT32" s="370"/>
      <c r="AU32" s="370"/>
      <c r="AV32" s="370"/>
      <c r="AW32" s="370"/>
      <c r="AX32" s="370"/>
      <c r="AY32" s="370"/>
      <c r="AZ32" s="370"/>
      <c r="BA32" s="370"/>
    </row>
    <row r="33" spans="22:55" ht="21" customHeight="1" x14ac:dyDescent="0.25">
      <c r="AD33" s="370"/>
      <c r="AE33" s="370"/>
      <c r="AF33" s="370"/>
      <c r="AG33" s="370"/>
      <c r="AH33" s="370"/>
      <c r="AI33" s="370"/>
      <c r="AJ33" s="370"/>
      <c r="AK33" s="370"/>
      <c r="AL33" s="370"/>
      <c r="AM33" s="370"/>
      <c r="AN33" s="370"/>
    </row>
    <row r="34" spans="22:55" ht="21" customHeight="1" x14ac:dyDescent="0.25">
      <c r="AD34" s="370"/>
      <c r="AE34" s="370"/>
      <c r="AF34" s="370"/>
      <c r="AG34" s="370"/>
      <c r="AH34" s="370"/>
      <c r="AI34" s="370"/>
      <c r="AJ34" s="370"/>
      <c r="AK34" s="370"/>
      <c r="AL34" s="370"/>
      <c r="AM34" s="370"/>
      <c r="AN34" s="370"/>
    </row>
    <row r="35" spans="22:55" ht="21" customHeight="1" x14ac:dyDescent="0.25">
      <c r="AD35" s="370"/>
      <c r="AE35" s="370"/>
      <c r="AF35" s="370"/>
      <c r="AG35" s="370"/>
      <c r="AH35" s="370"/>
      <c r="AI35" s="370"/>
      <c r="AJ35" s="370"/>
      <c r="AK35" s="370"/>
      <c r="AL35" s="370"/>
      <c r="AM35" s="370"/>
      <c r="AP35" s="370"/>
      <c r="AQ35" s="370"/>
      <c r="AR35" s="370"/>
      <c r="AS35" s="370"/>
    </row>
    <row r="36" spans="22:55" ht="21" customHeight="1" x14ac:dyDescent="0.25">
      <c r="AD36" s="370"/>
      <c r="AE36" s="370"/>
      <c r="AF36" s="370"/>
      <c r="AG36" s="370"/>
      <c r="AH36" s="370"/>
      <c r="AI36" s="370"/>
      <c r="AJ36" s="370"/>
      <c r="AK36" s="370"/>
      <c r="AL36" s="370"/>
      <c r="AM36" s="370"/>
      <c r="AP36" s="370"/>
      <c r="AQ36" s="370"/>
      <c r="AR36" s="370"/>
      <c r="AS36" s="370"/>
    </row>
    <row r="37" spans="22:55" ht="21" customHeight="1" x14ac:dyDescent="0.25">
      <c r="AD37" s="370"/>
      <c r="AE37" s="370"/>
      <c r="AF37" s="370"/>
      <c r="AG37" s="370"/>
      <c r="AH37" s="370"/>
      <c r="AI37" s="370"/>
      <c r="AJ37" s="370"/>
      <c r="AK37" s="370"/>
      <c r="AL37" s="370"/>
      <c r="AM37" s="370"/>
      <c r="AP37" s="370"/>
      <c r="AQ37" s="370"/>
      <c r="AR37" s="370"/>
      <c r="AS37" s="370"/>
    </row>
    <row r="38" spans="22:55" ht="21" customHeight="1" x14ac:dyDescent="0.25">
      <c r="V38" s="370"/>
      <c r="AD38" s="370"/>
      <c r="AE38" s="370"/>
      <c r="AF38" s="370"/>
      <c r="AG38" s="370"/>
      <c r="AH38" s="370"/>
      <c r="AI38" s="370"/>
      <c r="AJ38" s="370"/>
      <c r="AK38" s="370"/>
      <c r="AL38" s="370"/>
      <c r="AM38" s="370"/>
      <c r="AP38" s="370"/>
      <c r="AQ38" s="370"/>
      <c r="AR38" s="370"/>
      <c r="AS38" s="370"/>
    </row>
    <row r="39" spans="22:55" ht="21" customHeight="1" x14ac:dyDescent="0.25">
      <c r="AD39" s="370"/>
      <c r="AE39" s="370"/>
      <c r="AF39" s="370"/>
      <c r="AG39" s="370"/>
      <c r="AH39" s="370"/>
      <c r="AI39" s="370"/>
      <c r="AJ39" s="370"/>
      <c r="AK39" s="370"/>
      <c r="AL39" s="370"/>
      <c r="AM39" s="370"/>
      <c r="AS39" s="370"/>
      <c r="AV39" s="370"/>
      <c r="AW39" s="370"/>
      <c r="AX39" s="370"/>
      <c r="AY39" s="370"/>
      <c r="AZ39" s="370"/>
      <c r="BA39" s="370"/>
      <c r="BB39" s="370"/>
      <c r="BC39" s="370"/>
    </row>
    <row r="40" spans="22:55" ht="21" customHeight="1" x14ac:dyDescent="0.25">
      <c r="AD40" s="370"/>
      <c r="AE40" s="370"/>
      <c r="AF40" s="370"/>
      <c r="AG40" s="370"/>
      <c r="AH40" s="370"/>
      <c r="AI40" s="370"/>
      <c r="AJ40" s="370"/>
      <c r="AK40" s="370"/>
      <c r="AL40" s="370"/>
      <c r="AM40" s="370"/>
      <c r="AS40" s="370"/>
    </row>
    <row r="41" spans="22:55" ht="21" customHeight="1" x14ac:dyDescent="0.25">
      <c r="AD41" s="370"/>
      <c r="AE41" s="370"/>
      <c r="AF41" s="370"/>
      <c r="AG41" s="370"/>
      <c r="AH41" s="370"/>
      <c r="AI41" s="370"/>
      <c r="AJ41" s="370"/>
      <c r="AK41" s="370"/>
      <c r="AL41" s="370"/>
      <c r="AM41" s="370"/>
      <c r="AS41" s="370"/>
    </row>
    <row r="42" spans="22:55" ht="21" customHeight="1" x14ac:dyDescent="0.25">
      <c r="AD42" s="370"/>
      <c r="AE42" s="370"/>
      <c r="AF42" s="370"/>
      <c r="AG42" s="370"/>
      <c r="AH42" s="370"/>
      <c r="AI42" s="370"/>
      <c r="AJ42" s="370"/>
      <c r="AK42" s="370"/>
      <c r="AL42" s="370"/>
      <c r="AM42" s="370"/>
      <c r="AR42" s="370"/>
      <c r="AS42" s="370"/>
    </row>
    <row r="43" spans="22:55" ht="21" customHeight="1" x14ac:dyDescent="0.25">
      <c r="AD43" s="370"/>
      <c r="AE43" s="370"/>
      <c r="AF43" s="370"/>
      <c r="AG43" s="370"/>
      <c r="AH43" s="370"/>
      <c r="AI43" s="370"/>
      <c r="AJ43" s="370"/>
      <c r="AK43" s="370"/>
      <c r="AL43" s="370"/>
      <c r="AM43" s="370"/>
      <c r="AR43" s="370"/>
      <c r="AS43" s="370"/>
    </row>
    <row r="44" spans="22:55" ht="21" customHeight="1" x14ac:dyDescent="0.25">
      <c r="AD44" s="370"/>
      <c r="AE44" s="370"/>
      <c r="AF44" s="370"/>
      <c r="AG44" s="370"/>
      <c r="AH44" s="370"/>
      <c r="AI44" s="370"/>
      <c r="AJ44" s="370"/>
      <c r="AK44" s="370"/>
      <c r="AL44" s="370"/>
      <c r="AM44" s="370"/>
      <c r="AR44" s="370"/>
      <c r="AS44" s="370"/>
    </row>
    <row r="45" spans="22:55" ht="21" customHeight="1" x14ac:dyDescent="0.25">
      <c r="AD45" s="370"/>
      <c r="AE45" s="370"/>
      <c r="AF45" s="370"/>
      <c r="AG45" s="370"/>
      <c r="AH45" s="370"/>
      <c r="AI45" s="370"/>
      <c r="AJ45" s="370"/>
      <c r="AK45" s="370"/>
      <c r="AL45" s="370"/>
      <c r="AM45" s="370"/>
      <c r="AR45" s="370"/>
      <c r="AS45" s="370"/>
    </row>
    <row r="46" spans="22:55" ht="21" customHeight="1" x14ac:dyDescent="0.25">
      <c r="AD46" s="370"/>
      <c r="AE46" s="370"/>
      <c r="AF46" s="370"/>
      <c r="AG46" s="370"/>
      <c r="AH46" s="370"/>
      <c r="AI46" s="370"/>
      <c r="AJ46" s="370"/>
      <c r="AK46" s="370"/>
      <c r="AL46" s="370"/>
      <c r="AM46" s="370"/>
      <c r="AR46" s="370"/>
      <c r="AS46" s="370"/>
    </row>
    <row r="47" spans="22:55" ht="21" customHeight="1" x14ac:dyDescent="0.25">
      <c r="AD47" s="370"/>
      <c r="AE47" s="370"/>
      <c r="AF47" s="370"/>
      <c r="AG47" s="370"/>
      <c r="AH47" s="370"/>
      <c r="AI47" s="370"/>
      <c r="AJ47" s="370"/>
      <c r="AK47" s="370"/>
      <c r="AL47" s="370"/>
      <c r="AM47" s="370"/>
      <c r="AR47" s="370"/>
      <c r="AS47" s="370"/>
    </row>
    <row r="48" spans="22:55" ht="21" customHeight="1" x14ac:dyDescent="0.25">
      <c r="AD48" s="370"/>
      <c r="AE48" s="370"/>
      <c r="AF48" s="370"/>
      <c r="AG48" s="370"/>
      <c r="AH48" s="370"/>
      <c r="AI48" s="370"/>
      <c r="AJ48" s="370"/>
      <c r="AK48" s="370"/>
      <c r="AL48" s="370"/>
      <c r="AM48" s="370"/>
      <c r="AR48" s="370"/>
      <c r="AS48" s="370"/>
    </row>
    <row r="49" spans="29:45" ht="21" customHeight="1" x14ac:dyDescent="0.25">
      <c r="AD49" s="370"/>
      <c r="AE49" s="370"/>
      <c r="AF49" s="370"/>
      <c r="AG49" s="370"/>
      <c r="AH49" s="370"/>
      <c r="AI49" s="370"/>
      <c r="AJ49" s="370"/>
      <c r="AK49" s="370"/>
      <c r="AL49" s="370"/>
      <c r="AM49" s="370"/>
      <c r="AQ49" s="370"/>
      <c r="AR49" s="370"/>
      <c r="AS49" s="370"/>
    </row>
    <row r="50" spans="29:45" ht="21" customHeight="1" x14ac:dyDescent="0.25">
      <c r="AC50" s="370"/>
      <c r="AD50" s="370"/>
      <c r="AE50" s="370"/>
      <c r="AF50" s="370"/>
      <c r="AG50" s="370"/>
      <c r="AH50" s="370"/>
      <c r="AI50" s="370"/>
      <c r="AJ50" s="370"/>
      <c r="AK50" s="370"/>
      <c r="AL50" s="370"/>
      <c r="AM50" s="370"/>
      <c r="AQ50" s="370"/>
      <c r="AR50" s="370"/>
      <c r="AS50" s="370"/>
    </row>
    <row r="51" spans="29:45" ht="21" customHeight="1" x14ac:dyDescent="0.25">
      <c r="AC51" s="370"/>
      <c r="AD51" s="370"/>
      <c r="AE51" s="370"/>
      <c r="AF51" s="370"/>
      <c r="AG51" s="370"/>
      <c r="AH51" s="370"/>
      <c r="AI51" s="370"/>
      <c r="AJ51" s="370"/>
      <c r="AK51" s="370"/>
      <c r="AL51" s="370"/>
      <c r="AM51" s="370"/>
      <c r="AQ51" s="370"/>
      <c r="AR51" s="370"/>
      <c r="AS51" s="370"/>
    </row>
    <row r="52" spans="29:45" ht="21" customHeight="1" x14ac:dyDescent="0.25">
      <c r="AC52" s="370"/>
      <c r="AD52" s="370"/>
      <c r="AE52" s="370"/>
      <c r="AF52" s="370"/>
      <c r="AG52" s="370"/>
      <c r="AH52" s="370"/>
      <c r="AI52" s="370"/>
      <c r="AJ52" s="370"/>
      <c r="AK52" s="370"/>
      <c r="AL52" s="370"/>
      <c r="AM52" s="370"/>
      <c r="AQ52" s="370"/>
      <c r="AR52" s="370"/>
      <c r="AS52" s="370"/>
    </row>
    <row r="53" spans="29:45" ht="21" customHeight="1" x14ac:dyDescent="0.25">
      <c r="AC53" s="370"/>
      <c r="AD53" s="370"/>
      <c r="AE53" s="370"/>
      <c r="AF53" s="370"/>
      <c r="AG53" s="370"/>
      <c r="AH53" s="370"/>
      <c r="AI53" s="370"/>
      <c r="AJ53" s="370"/>
      <c r="AK53" s="370"/>
      <c r="AL53" s="370"/>
      <c r="AM53" s="370"/>
      <c r="AQ53" s="370"/>
      <c r="AR53" s="370"/>
      <c r="AS53" s="370"/>
    </row>
    <row r="54" spans="29:45" ht="21" customHeight="1" x14ac:dyDescent="0.25">
      <c r="AD54" s="370"/>
      <c r="AE54" s="370"/>
      <c r="AF54" s="370"/>
      <c r="AG54" s="370"/>
      <c r="AH54" s="370"/>
      <c r="AI54" s="370"/>
      <c r="AJ54" s="370"/>
      <c r="AK54" s="370"/>
      <c r="AL54" s="370"/>
      <c r="AM54" s="370"/>
    </row>
    <row r="55" spans="29:45" ht="21" customHeight="1" x14ac:dyDescent="0.25">
      <c r="AD55" s="370"/>
      <c r="AE55" s="370"/>
      <c r="AF55" s="370"/>
      <c r="AG55" s="370"/>
      <c r="AH55" s="370"/>
      <c r="AI55" s="370"/>
      <c r="AJ55" s="370"/>
      <c r="AK55" s="370"/>
      <c r="AL55" s="370"/>
      <c r="AM55" s="370"/>
    </row>
    <row r="56" spans="29:45" ht="21" customHeight="1" x14ac:dyDescent="0.25">
      <c r="AD56" s="370"/>
      <c r="AE56" s="370"/>
      <c r="AF56" s="370"/>
      <c r="AG56" s="370"/>
      <c r="AH56" s="370"/>
      <c r="AI56" s="370"/>
      <c r="AJ56" s="370"/>
      <c r="AK56" s="370"/>
      <c r="AL56" s="370"/>
      <c r="AM56" s="370"/>
    </row>
    <row r="57" spans="29:45" ht="21" customHeight="1" x14ac:dyDescent="0.25">
      <c r="AD57" s="370"/>
      <c r="AE57" s="370"/>
      <c r="AF57" s="370"/>
      <c r="AG57" s="370"/>
      <c r="AH57" s="370"/>
      <c r="AI57" s="370"/>
      <c r="AJ57" s="370"/>
      <c r="AK57" s="370"/>
      <c r="AL57" s="370"/>
      <c r="AM57" s="370"/>
    </row>
    <row r="58" spans="29:45" ht="21" customHeight="1" x14ac:dyDescent="0.25">
      <c r="AD58" s="370"/>
      <c r="AE58" s="370"/>
      <c r="AF58" s="370"/>
      <c r="AG58" s="370"/>
      <c r="AH58" s="370"/>
      <c r="AI58" s="370"/>
      <c r="AJ58" s="370"/>
      <c r="AK58" s="370"/>
      <c r="AL58" s="370"/>
      <c r="AM58" s="370"/>
    </row>
    <row r="59" spans="29:45" ht="21" customHeight="1" x14ac:dyDescent="0.25">
      <c r="AD59" s="370"/>
      <c r="AE59" s="370"/>
      <c r="AF59" s="370"/>
      <c r="AG59" s="370"/>
      <c r="AH59" s="370"/>
      <c r="AI59" s="370"/>
      <c r="AJ59" s="370"/>
      <c r="AK59" s="370"/>
      <c r="AL59" s="370"/>
      <c r="AM59" s="370"/>
    </row>
    <row r="60" spans="29:45" ht="21" customHeight="1" x14ac:dyDescent="0.25">
      <c r="AD60" s="370"/>
      <c r="AE60" s="370"/>
      <c r="AF60" s="370"/>
      <c r="AG60" s="370"/>
      <c r="AH60" s="370"/>
      <c r="AI60" s="370"/>
      <c r="AJ60" s="370"/>
      <c r="AK60" s="370"/>
      <c r="AL60" s="370"/>
      <c r="AM60" s="370"/>
    </row>
    <row r="61" spans="29:45" ht="21" customHeight="1" x14ac:dyDescent="0.25">
      <c r="AD61" s="370"/>
      <c r="AE61" s="370"/>
      <c r="AF61" s="370"/>
      <c r="AG61" s="370"/>
      <c r="AH61" s="370"/>
      <c r="AI61" s="370"/>
      <c r="AJ61" s="370"/>
      <c r="AK61" s="370"/>
      <c r="AL61" s="370"/>
      <c r="AM61" s="370"/>
    </row>
    <row r="62" spans="29:45" ht="21" customHeight="1" x14ac:dyDescent="0.25">
      <c r="AD62" s="370"/>
      <c r="AE62" s="370"/>
      <c r="AF62" s="370"/>
      <c r="AG62" s="370"/>
      <c r="AH62" s="370"/>
      <c r="AI62" s="370"/>
      <c r="AJ62" s="370"/>
      <c r="AK62" s="370"/>
      <c r="AL62" s="370"/>
      <c r="AM62" s="370"/>
    </row>
    <row r="63" spans="29:45" ht="21" customHeight="1" x14ac:dyDescent="0.25">
      <c r="AD63" s="370"/>
      <c r="AE63" s="370"/>
      <c r="AF63" s="370"/>
      <c r="AG63" s="370"/>
      <c r="AH63" s="370"/>
      <c r="AI63" s="370"/>
      <c r="AJ63" s="370"/>
      <c r="AK63" s="370"/>
      <c r="AL63" s="370"/>
      <c r="AM63" s="370"/>
    </row>
    <row r="64" spans="29:45" ht="21" customHeight="1" x14ac:dyDescent="0.25">
      <c r="AD64" s="370"/>
      <c r="AE64" s="370"/>
      <c r="AF64" s="370"/>
      <c r="AG64" s="370"/>
      <c r="AH64" s="370"/>
      <c r="AI64" s="370"/>
      <c r="AJ64" s="370"/>
      <c r="AK64" s="370"/>
      <c r="AL64" s="370"/>
      <c r="AM64" s="370"/>
    </row>
    <row r="65" spans="30:39" ht="21" customHeight="1" x14ac:dyDescent="0.25">
      <c r="AD65" s="370"/>
      <c r="AE65" s="370"/>
      <c r="AF65" s="370"/>
      <c r="AG65" s="370"/>
      <c r="AH65" s="370"/>
      <c r="AI65" s="370"/>
      <c r="AJ65" s="370"/>
      <c r="AK65" s="370"/>
      <c r="AL65" s="370"/>
      <c r="AM65" s="370"/>
    </row>
    <row r="66" spans="30:39" ht="21" customHeight="1" x14ac:dyDescent="0.25">
      <c r="AD66" s="370"/>
      <c r="AE66" s="370"/>
      <c r="AF66" s="370"/>
      <c r="AG66" s="370"/>
      <c r="AH66" s="370"/>
      <c r="AI66" s="370"/>
      <c r="AJ66" s="370"/>
      <c r="AK66" s="370"/>
      <c r="AL66" s="370"/>
      <c r="AM66" s="370"/>
    </row>
    <row r="67" spans="30:39" ht="21" customHeight="1" x14ac:dyDescent="0.25">
      <c r="AD67" s="370"/>
      <c r="AE67" s="370"/>
      <c r="AF67" s="370"/>
      <c r="AG67" s="370"/>
      <c r="AH67" s="370"/>
      <c r="AI67" s="370"/>
      <c r="AJ67" s="370"/>
      <c r="AK67" s="370"/>
      <c r="AL67" s="370"/>
      <c r="AM67" s="370"/>
    </row>
    <row r="68" spans="30:39" ht="21" customHeight="1" x14ac:dyDescent="0.25">
      <c r="AD68" s="370"/>
      <c r="AE68" s="370"/>
      <c r="AF68" s="370"/>
      <c r="AG68" s="370"/>
      <c r="AH68" s="370"/>
      <c r="AI68" s="370"/>
      <c r="AJ68" s="370"/>
      <c r="AK68" s="370"/>
      <c r="AL68" s="370"/>
      <c r="AM68" s="370"/>
    </row>
    <row r="69" spans="30:39" ht="21" customHeight="1" x14ac:dyDescent="0.25">
      <c r="AD69" s="370"/>
      <c r="AE69" s="370"/>
      <c r="AF69" s="370"/>
      <c r="AG69" s="370"/>
      <c r="AH69" s="370"/>
      <c r="AI69" s="370"/>
      <c r="AJ69" s="370"/>
      <c r="AK69" s="370"/>
      <c r="AL69" s="370"/>
      <c r="AM69" s="370"/>
    </row>
    <row r="70" spans="30:39" ht="21" customHeight="1" x14ac:dyDescent="0.25">
      <c r="AD70" s="370"/>
      <c r="AE70" s="370"/>
      <c r="AF70" s="370"/>
      <c r="AG70" s="370"/>
      <c r="AH70" s="370"/>
      <c r="AI70" s="370"/>
      <c r="AJ70" s="370"/>
      <c r="AK70" s="370"/>
      <c r="AL70" s="370"/>
      <c r="AM70" s="370"/>
    </row>
    <row r="71" spans="30:39" ht="21" customHeight="1" x14ac:dyDescent="0.25">
      <c r="AD71" s="370"/>
      <c r="AE71" s="370"/>
      <c r="AF71" s="370"/>
      <c r="AG71" s="370"/>
      <c r="AH71" s="370"/>
      <c r="AI71" s="370"/>
      <c r="AJ71" s="370"/>
      <c r="AK71" s="370"/>
      <c r="AL71" s="370"/>
      <c r="AM71" s="370"/>
    </row>
  </sheetData>
  <mergeCells count="14">
    <mergeCell ref="G2:J5"/>
    <mergeCell ref="A1:J1"/>
    <mergeCell ref="A8:F8"/>
    <mergeCell ref="A16:G16"/>
    <mergeCell ref="L1:S1"/>
    <mergeCell ref="L10:X10"/>
    <mergeCell ref="AA1:AG1"/>
    <mergeCell ref="AA5:AG5"/>
    <mergeCell ref="AA11:AF11"/>
    <mergeCell ref="AJ8:AQ8"/>
    <mergeCell ref="AI5:AM5"/>
    <mergeCell ref="AI4:AP4"/>
    <mergeCell ref="AI2:AM2"/>
    <mergeCell ref="AI1:AM1"/>
  </mergeCells>
  <phoneticPr fontId="86"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4" tint="0.59999389629810485"/>
  </sheetPr>
  <dimension ref="B2:P28"/>
  <sheetViews>
    <sheetView workbookViewId="0">
      <selection activeCell="B8" sqref="B8:H13"/>
    </sheetView>
  </sheetViews>
  <sheetFormatPr defaultColWidth="8.88671875" defaultRowHeight="14.4" x14ac:dyDescent="0.25"/>
  <cols>
    <col min="1" max="16384" width="8.88671875" style="7"/>
  </cols>
  <sheetData>
    <row r="2" spans="2:16" x14ac:dyDescent="0.25">
      <c r="B2" s="799" t="s">
        <v>4208</v>
      </c>
      <c r="C2" s="799"/>
      <c r="D2" s="799"/>
      <c r="E2" s="799"/>
      <c r="F2" s="799"/>
      <c r="G2" s="799"/>
      <c r="H2" s="799"/>
      <c r="I2" s="804" t="s">
        <v>4209</v>
      </c>
      <c r="J2" s="814" t="s">
        <v>4210</v>
      </c>
      <c r="K2" s="814"/>
      <c r="L2" s="814"/>
      <c r="N2" s="800" t="s">
        <v>4211</v>
      </c>
      <c r="O2" s="801"/>
      <c r="P2" s="802"/>
    </row>
    <row r="3" spans="2:16" ht="14.4" customHeight="1" x14ac:dyDescent="0.25">
      <c r="B3" s="803" t="s">
        <v>4212</v>
      </c>
      <c r="C3" s="803"/>
      <c r="D3" s="803"/>
      <c r="E3" s="803"/>
      <c r="F3" s="803"/>
      <c r="G3" s="803"/>
      <c r="H3" s="803"/>
      <c r="I3" s="804"/>
      <c r="J3" s="814"/>
      <c r="K3" s="814"/>
      <c r="L3" s="814"/>
      <c r="N3" s="803" t="s">
        <v>4213</v>
      </c>
      <c r="O3" s="803"/>
      <c r="P3" s="803"/>
    </row>
    <row r="4" spans="2:16" ht="14.4" customHeight="1" x14ac:dyDescent="0.25">
      <c r="B4" s="803"/>
      <c r="C4" s="803"/>
      <c r="D4" s="803"/>
      <c r="E4" s="803"/>
      <c r="F4" s="803"/>
      <c r="G4" s="803"/>
      <c r="H4" s="803"/>
      <c r="I4" s="804"/>
      <c r="J4" s="814"/>
      <c r="K4" s="814"/>
      <c r="L4" s="814"/>
      <c r="N4" s="815" t="str">
        <f>".nn"&amp;" "&amp;主要!$E$3</f>
        <v>.nn 作者：悲灵</v>
      </c>
      <c r="O4" s="816"/>
      <c r="P4" s="817"/>
    </row>
    <row r="5" spans="2:16" ht="14.4" customHeight="1" x14ac:dyDescent="0.25">
      <c r="B5" s="803"/>
      <c r="C5" s="803"/>
      <c r="D5" s="803"/>
      <c r="E5" s="803"/>
      <c r="F5" s="803"/>
      <c r="G5" s="803"/>
      <c r="H5" s="803"/>
      <c r="I5" s="804"/>
      <c r="J5" s="814"/>
      <c r="K5" s="814"/>
      <c r="L5" s="814"/>
      <c r="N5" s="818"/>
      <c r="O5" s="819"/>
      <c r="P5" s="820"/>
    </row>
    <row r="6" spans="2:16" ht="14.4" customHeight="1" x14ac:dyDescent="0.25">
      <c r="B6" s="803"/>
      <c r="C6" s="803"/>
      <c r="D6" s="803"/>
      <c r="E6" s="803"/>
      <c r="F6" s="803"/>
      <c r="G6" s="803"/>
      <c r="H6" s="803"/>
      <c r="I6" s="804"/>
      <c r="J6" s="814"/>
      <c r="K6" s="814"/>
      <c r="L6" s="814"/>
    </row>
    <row r="7" spans="2:16" ht="14.4" customHeight="1" x14ac:dyDescent="0.25">
      <c r="B7" s="803"/>
      <c r="C7" s="803"/>
      <c r="D7" s="803"/>
      <c r="E7" s="803"/>
      <c r="F7" s="803"/>
      <c r="G7" s="803"/>
      <c r="H7" s="803"/>
      <c r="I7" s="804"/>
      <c r="J7" s="814"/>
      <c r="K7" s="814"/>
      <c r="L7" s="814"/>
    </row>
    <row r="8" spans="2:16" x14ac:dyDescent="0.25">
      <c r="B8" s="805" t="str">
        <f>主要!$AV$1</f>
        <v>.dst 力量:10 敏捷:10 体质:10 智力:10 感知:10 魅力:10 hp:0 hpmax:0 先攻:0 ac:10 dc:10 pp:10 熟练:2 运动:0 特技:0 巧手:0 隐匿:0 调查:0 奥秘:0 历史:0 自然:0 宗教:0 察觉:0 洞悉:0 驯兽:0 医疗:0 求生:0 游说:0 欺诈:0 威吓:0 表演:0</v>
      </c>
      <c r="C8" s="806"/>
      <c r="D8" s="806"/>
      <c r="E8" s="806"/>
      <c r="F8" s="806"/>
      <c r="G8" s="806"/>
      <c r="H8" s="807"/>
      <c r="J8" s="814"/>
      <c r="K8" s="814"/>
      <c r="L8" s="814"/>
    </row>
    <row r="9" spans="2:16" x14ac:dyDescent="0.25">
      <c r="B9" s="808"/>
      <c r="C9" s="809"/>
      <c r="D9" s="809"/>
      <c r="E9" s="809"/>
      <c r="F9" s="809"/>
      <c r="G9" s="809"/>
      <c r="H9" s="810"/>
      <c r="J9" s="814"/>
      <c r="K9" s="814"/>
      <c r="L9" s="814"/>
    </row>
    <row r="10" spans="2:16" x14ac:dyDescent="0.25">
      <c r="B10" s="808"/>
      <c r="C10" s="809"/>
      <c r="D10" s="809"/>
      <c r="E10" s="809"/>
      <c r="F10" s="809"/>
      <c r="G10" s="809"/>
      <c r="H10" s="810"/>
      <c r="J10" s="814"/>
      <c r="K10" s="814"/>
      <c r="L10" s="814"/>
    </row>
    <row r="11" spans="2:16" x14ac:dyDescent="0.25">
      <c r="B11" s="808"/>
      <c r="C11" s="809"/>
      <c r="D11" s="809"/>
      <c r="E11" s="809"/>
      <c r="F11" s="809"/>
      <c r="G11" s="809"/>
      <c r="H11" s="810"/>
      <c r="J11" s="814"/>
      <c r="K11" s="814"/>
      <c r="L11" s="814"/>
    </row>
    <row r="12" spans="2:16" x14ac:dyDescent="0.25">
      <c r="B12" s="808"/>
      <c r="C12" s="809"/>
      <c r="D12" s="809"/>
      <c r="E12" s="809"/>
      <c r="F12" s="809"/>
      <c r="G12" s="809"/>
      <c r="H12" s="810"/>
      <c r="J12" s="814"/>
      <c r="K12" s="814"/>
      <c r="L12" s="814"/>
    </row>
    <row r="13" spans="2:16" x14ac:dyDescent="0.25">
      <c r="B13" s="811"/>
      <c r="C13" s="812"/>
      <c r="D13" s="812"/>
      <c r="E13" s="812"/>
      <c r="F13" s="812"/>
      <c r="G13" s="812"/>
      <c r="H13" s="813"/>
      <c r="J13" s="814"/>
      <c r="K13" s="814"/>
      <c r="L13" s="814"/>
    </row>
    <row r="15" spans="2:16" x14ac:dyDescent="0.25">
      <c r="B15" s="8"/>
      <c r="C15" s="8"/>
      <c r="D15" s="8"/>
      <c r="E15" s="8"/>
      <c r="F15" s="8"/>
      <c r="G15" s="8"/>
      <c r="H15" s="8"/>
      <c r="I15" s="8"/>
      <c r="J15" s="8"/>
      <c r="K15" s="8"/>
      <c r="L15" s="8"/>
    </row>
    <row r="16" spans="2:16" x14ac:dyDescent="0.25">
      <c r="B16" s="8"/>
      <c r="C16" s="8"/>
      <c r="D16" s="8"/>
      <c r="E16" s="8"/>
      <c r="F16" s="8"/>
      <c r="G16" s="8"/>
      <c r="H16" s="8"/>
      <c r="I16" s="8"/>
      <c r="J16" s="8"/>
      <c r="K16" s="8"/>
      <c r="L16" s="8"/>
    </row>
    <row r="17" spans="2:12" x14ac:dyDescent="0.25">
      <c r="B17" s="8"/>
      <c r="C17" s="8"/>
      <c r="D17" s="8"/>
      <c r="E17" s="8"/>
      <c r="F17" s="8"/>
      <c r="G17" s="8"/>
      <c r="H17" s="8"/>
      <c r="I17" s="8"/>
      <c r="J17" s="8"/>
      <c r="K17" s="8"/>
      <c r="L17" s="8"/>
    </row>
    <row r="18" spans="2:12" x14ac:dyDescent="0.25">
      <c r="B18" s="8"/>
      <c r="C18" s="8"/>
      <c r="D18" s="8"/>
      <c r="E18" s="8"/>
      <c r="F18" s="8"/>
      <c r="G18" s="8"/>
      <c r="H18" s="8"/>
      <c r="I18" s="8"/>
      <c r="J18" s="8"/>
      <c r="K18" s="8"/>
      <c r="L18" s="8"/>
    </row>
    <row r="19" spans="2:12" x14ac:dyDescent="0.25">
      <c r="B19" s="8"/>
      <c r="C19" s="8"/>
      <c r="D19" s="8"/>
      <c r="E19" s="8"/>
      <c r="F19" s="8"/>
      <c r="G19" s="8"/>
      <c r="H19" s="8"/>
      <c r="I19" s="8"/>
      <c r="J19" s="8"/>
      <c r="K19" s="8"/>
      <c r="L19" s="8"/>
    </row>
    <row r="20" spans="2:12" x14ac:dyDescent="0.25">
      <c r="B20" s="8"/>
      <c r="C20" s="8"/>
      <c r="D20" s="8"/>
      <c r="E20" s="8"/>
      <c r="F20" s="8"/>
      <c r="G20" s="8"/>
      <c r="H20" s="8"/>
      <c r="I20" s="8"/>
      <c r="J20" s="8"/>
      <c r="K20" s="8"/>
      <c r="L20" s="8"/>
    </row>
    <row r="21" spans="2:12" x14ac:dyDescent="0.25">
      <c r="B21" s="8"/>
      <c r="C21" s="8"/>
      <c r="D21" s="8"/>
      <c r="E21" s="8"/>
      <c r="F21" s="8"/>
      <c r="G21" s="8"/>
      <c r="H21" s="8"/>
      <c r="I21" s="8"/>
      <c r="J21" s="8"/>
      <c r="K21" s="8"/>
      <c r="L21" s="8"/>
    </row>
    <row r="22" spans="2:12" x14ac:dyDescent="0.25">
      <c r="B22" s="8"/>
      <c r="C22" s="8"/>
      <c r="D22" s="8"/>
      <c r="E22" s="8"/>
      <c r="F22" s="8"/>
      <c r="G22" s="8"/>
      <c r="H22" s="8"/>
      <c r="I22" s="8"/>
      <c r="J22" s="8"/>
      <c r="K22" s="8"/>
      <c r="L22" s="8"/>
    </row>
    <row r="23" spans="2:12" x14ac:dyDescent="0.25">
      <c r="B23" s="8"/>
      <c r="C23" s="8"/>
      <c r="D23" s="8"/>
      <c r="E23" s="8"/>
      <c r="F23" s="8"/>
      <c r="G23" s="8"/>
      <c r="H23" s="8"/>
      <c r="I23" s="8"/>
      <c r="J23" s="8"/>
      <c r="K23" s="8"/>
      <c r="L23" s="8"/>
    </row>
    <row r="24" spans="2:12" x14ac:dyDescent="0.25">
      <c r="B24" s="8"/>
      <c r="C24" s="8"/>
      <c r="D24" s="8"/>
      <c r="E24" s="8"/>
      <c r="F24" s="8"/>
      <c r="G24" s="8"/>
      <c r="H24" s="8"/>
      <c r="I24" s="8"/>
      <c r="J24" s="8"/>
      <c r="K24" s="8"/>
      <c r="L24" s="8"/>
    </row>
    <row r="25" spans="2:12" x14ac:dyDescent="0.25">
      <c r="B25" s="8"/>
      <c r="C25" s="8"/>
      <c r="D25" s="8"/>
      <c r="E25" s="8"/>
      <c r="F25" s="8"/>
      <c r="G25" s="8"/>
      <c r="H25" s="8"/>
      <c r="I25" s="8"/>
      <c r="J25" s="8"/>
      <c r="K25" s="8"/>
      <c r="L25" s="8"/>
    </row>
    <row r="26" spans="2:12" x14ac:dyDescent="0.25">
      <c r="B26" s="8"/>
      <c r="C26" s="8"/>
      <c r="D26" s="8"/>
      <c r="E26" s="8"/>
      <c r="F26" s="8"/>
      <c r="G26" s="8"/>
      <c r="H26" s="8"/>
      <c r="I26" s="8"/>
      <c r="J26" s="8"/>
      <c r="K26" s="8"/>
      <c r="L26" s="8"/>
    </row>
    <row r="27" spans="2:12" x14ac:dyDescent="0.25">
      <c r="B27" s="8"/>
      <c r="C27" s="8"/>
      <c r="D27" s="8"/>
      <c r="E27" s="8"/>
      <c r="F27" s="8"/>
      <c r="G27" s="8"/>
      <c r="H27" s="8"/>
      <c r="I27" s="8"/>
      <c r="J27" s="8"/>
      <c r="K27" s="8"/>
      <c r="L27" s="8"/>
    </row>
    <row r="28" spans="2:12" x14ac:dyDescent="0.25">
      <c r="B28" s="8"/>
      <c r="C28" s="8"/>
      <c r="D28" s="8"/>
      <c r="E28" s="8"/>
      <c r="F28" s="8"/>
      <c r="G28" s="8"/>
      <c r="H28" s="8"/>
      <c r="I28" s="8"/>
      <c r="J28" s="8"/>
      <c r="K28" s="8"/>
      <c r="L28" s="8"/>
    </row>
  </sheetData>
  <sheetProtection sheet="1" scenarios="1"/>
  <mergeCells count="8">
    <mergeCell ref="B2:H2"/>
    <mergeCell ref="N2:P2"/>
    <mergeCell ref="N3:P3"/>
    <mergeCell ref="I2:I7"/>
    <mergeCell ref="B8:H13"/>
    <mergeCell ref="B3:H7"/>
    <mergeCell ref="J2:L13"/>
    <mergeCell ref="N4:P5"/>
  </mergeCells>
  <phoneticPr fontId="86"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0" tint="-0.499984740745262"/>
  </sheetPr>
  <dimension ref="B1:AZ94"/>
  <sheetViews>
    <sheetView showGridLines="0" workbookViewId="0">
      <selection activeCell="AA9" sqref="AA9"/>
    </sheetView>
  </sheetViews>
  <sheetFormatPr defaultColWidth="3.77734375" defaultRowHeight="13.8" x14ac:dyDescent="0.25"/>
  <cols>
    <col min="1" max="16384" width="3.77734375" style="5"/>
  </cols>
  <sheetData>
    <row r="1" spans="2:52" ht="14.4" customHeight="1" x14ac:dyDescent="0.25">
      <c r="B1" s="846" t="s">
        <v>4341</v>
      </c>
      <c r="C1" s="846"/>
      <c r="D1" s="846"/>
      <c r="E1" s="846"/>
      <c r="F1" s="846"/>
      <c r="G1" s="846"/>
      <c r="H1" s="846"/>
      <c r="I1" s="846"/>
      <c r="J1" s="846"/>
      <c r="K1" s="846"/>
      <c r="L1" s="846"/>
      <c r="M1" s="846"/>
      <c r="N1" s="846"/>
      <c r="O1" s="846"/>
      <c r="P1" s="846"/>
      <c r="Q1" s="846"/>
      <c r="R1" s="846"/>
      <c r="S1" s="846"/>
      <c r="T1" s="846"/>
      <c r="U1" s="846"/>
      <c r="V1" s="846"/>
      <c r="W1" s="846"/>
      <c r="X1" s="846"/>
      <c r="Y1" s="846"/>
      <c r="Z1" s="846"/>
      <c r="AB1" s="847" t="s">
        <v>4214</v>
      </c>
      <c r="AC1" s="847"/>
      <c r="AD1" s="847"/>
      <c r="AE1" s="847"/>
      <c r="AF1" s="847"/>
      <c r="AG1" s="847"/>
      <c r="AH1" s="847"/>
      <c r="AI1" s="847"/>
      <c r="AJ1" s="847"/>
      <c r="AK1" s="847"/>
      <c r="AL1" s="847"/>
      <c r="AM1" s="847"/>
      <c r="AO1" s="830" t="s">
        <v>4215</v>
      </c>
      <c r="AP1" s="830"/>
      <c r="AQ1" s="830"/>
      <c r="AR1" s="830"/>
      <c r="AS1" s="830"/>
      <c r="AT1" s="830"/>
      <c r="AU1" s="830"/>
      <c r="AV1" s="830"/>
      <c r="AW1" s="830"/>
      <c r="AX1" s="830"/>
      <c r="AY1" s="830"/>
      <c r="AZ1" s="830"/>
    </row>
    <row r="2" spans="2:52" ht="15" customHeight="1" x14ac:dyDescent="0.25">
      <c r="B2" s="837" t="s">
        <v>4718</v>
      </c>
      <c r="C2" s="838"/>
      <c r="D2" s="838"/>
      <c r="E2" s="838"/>
      <c r="F2" s="838"/>
      <c r="G2" s="838"/>
      <c r="H2" s="838"/>
      <c r="I2" s="838"/>
      <c r="J2" s="838"/>
      <c r="K2" s="838"/>
      <c r="L2" s="838"/>
      <c r="M2" s="838"/>
      <c r="N2" s="838"/>
      <c r="O2" s="838"/>
      <c r="P2" s="838"/>
      <c r="Q2" s="838"/>
      <c r="R2" s="838"/>
      <c r="S2" s="838"/>
      <c r="T2" s="838"/>
      <c r="U2" s="838"/>
      <c r="V2" s="838"/>
      <c r="W2" s="838"/>
      <c r="X2" s="838"/>
      <c r="Y2" s="838"/>
      <c r="Z2" s="839"/>
      <c r="AB2" s="821" t="s">
        <v>4216</v>
      </c>
      <c r="AC2" s="822"/>
      <c r="AD2" s="822"/>
      <c r="AE2" s="822"/>
      <c r="AF2" s="822"/>
      <c r="AG2" s="822"/>
      <c r="AH2" s="822"/>
      <c r="AI2" s="822"/>
      <c r="AJ2" s="822"/>
      <c r="AK2" s="822"/>
      <c r="AL2" s="822"/>
      <c r="AM2" s="823"/>
      <c r="AO2" s="849" t="s">
        <v>4327</v>
      </c>
      <c r="AP2" s="849"/>
      <c r="AQ2" s="849"/>
      <c r="AR2" s="849"/>
      <c r="AS2" s="849"/>
      <c r="AT2" s="849"/>
      <c r="AU2" s="849"/>
      <c r="AV2" s="849"/>
      <c r="AW2" s="849"/>
      <c r="AX2" s="849"/>
      <c r="AY2" s="849"/>
      <c r="AZ2" s="849"/>
    </row>
    <row r="3" spans="2:52" ht="14.4" customHeight="1" x14ac:dyDescent="0.25">
      <c r="B3" s="840"/>
      <c r="C3" s="841"/>
      <c r="D3" s="841"/>
      <c r="E3" s="841"/>
      <c r="F3" s="841"/>
      <c r="G3" s="841"/>
      <c r="H3" s="841"/>
      <c r="I3" s="841"/>
      <c r="J3" s="841"/>
      <c r="K3" s="841"/>
      <c r="L3" s="841"/>
      <c r="M3" s="841"/>
      <c r="N3" s="841"/>
      <c r="O3" s="841"/>
      <c r="P3" s="841"/>
      <c r="Q3" s="841"/>
      <c r="R3" s="841"/>
      <c r="S3" s="841"/>
      <c r="T3" s="841"/>
      <c r="U3" s="841"/>
      <c r="V3" s="841"/>
      <c r="W3" s="841"/>
      <c r="X3" s="841"/>
      <c r="Y3" s="841"/>
      <c r="Z3" s="842"/>
      <c r="AB3" s="824"/>
      <c r="AC3" s="825"/>
      <c r="AD3" s="825"/>
      <c r="AE3" s="825"/>
      <c r="AF3" s="825"/>
      <c r="AG3" s="825"/>
      <c r="AH3" s="825"/>
      <c r="AI3" s="825"/>
      <c r="AJ3" s="825"/>
      <c r="AK3" s="825"/>
      <c r="AL3" s="825"/>
      <c r="AM3" s="826"/>
      <c r="AO3" s="849"/>
      <c r="AP3" s="849"/>
      <c r="AQ3" s="849"/>
      <c r="AR3" s="849"/>
      <c r="AS3" s="849"/>
      <c r="AT3" s="849"/>
      <c r="AU3" s="849"/>
      <c r="AV3" s="849"/>
      <c r="AW3" s="849"/>
      <c r="AX3" s="849"/>
      <c r="AY3" s="849"/>
      <c r="AZ3" s="849"/>
    </row>
    <row r="4" spans="2:52" ht="14.4" customHeight="1" x14ac:dyDescent="0.25">
      <c r="B4" s="840"/>
      <c r="C4" s="841"/>
      <c r="D4" s="841"/>
      <c r="E4" s="841"/>
      <c r="F4" s="841"/>
      <c r="G4" s="841"/>
      <c r="H4" s="841"/>
      <c r="I4" s="841"/>
      <c r="J4" s="841"/>
      <c r="K4" s="841"/>
      <c r="L4" s="841"/>
      <c r="M4" s="841"/>
      <c r="N4" s="841"/>
      <c r="O4" s="841"/>
      <c r="P4" s="841"/>
      <c r="Q4" s="841"/>
      <c r="R4" s="841"/>
      <c r="S4" s="841"/>
      <c r="T4" s="841"/>
      <c r="U4" s="841"/>
      <c r="V4" s="841"/>
      <c r="W4" s="841"/>
      <c r="X4" s="841"/>
      <c r="Y4" s="841"/>
      <c r="Z4" s="842"/>
      <c r="AB4" s="821"/>
      <c r="AC4" s="822"/>
      <c r="AD4" s="822"/>
      <c r="AE4" s="822"/>
      <c r="AF4" s="822"/>
      <c r="AG4" s="822"/>
      <c r="AH4" s="822"/>
      <c r="AI4" s="822"/>
      <c r="AJ4" s="822"/>
      <c r="AK4" s="822"/>
      <c r="AL4" s="822"/>
      <c r="AM4" s="823"/>
      <c r="AO4" s="849"/>
      <c r="AP4" s="849"/>
      <c r="AQ4" s="849"/>
      <c r="AR4" s="849"/>
      <c r="AS4" s="849"/>
      <c r="AT4" s="849"/>
      <c r="AU4" s="849"/>
      <c r="AV4" s="849"/>
      <c r="AW4" s="849"/>
      <c r="AX4" s="849"/>
      <c r="AY4" s="849"/>
      <c r="AZ4" s="849"/>
    </row>
    <row r="5" spans="2:52" ht="13.95" customHeight="1" x14ac:dyDescent="0.25">
      <c r="B5" s="840"/>
      <c r="C5" s="841"/>
      <c r="D5" s="841"/>
      <c r="E5" s="841"/>
      <c r="F5" s="841"/>
      <c r="G5" s="841"/>
      <c r="H5" s="841"/>
      <c r="I5" s="841"/>
      <c r="J5" s="841"/>
      <c r="K5" s="841"/>
      <c r="L5" s="841"/>
      <c r="M5" s="841"/>
      <c r="N5" s="841"/>
      <c r="O5" s="841"/>
      <c r="P5" s="841"/>
      <c r="Q5" s="841"/>
      <c r="R5" s="841"/>
      <c r="S5" s="841"/>
      <c r="T5" s="841"/>
      <c r="U5" s="841"/>
      <c r="V5" s="841"/>
      <c r="W5" s="841"/>
      <c r="X5" s="841"/>
      <c r="Y5" s="841"/>
      <c r="Z5" s="842"/>
      <c r="AB5" s="824"/>
      <c r="AC5" s="825"/>
      <c r="AD5" s="825"/>
      <c r="AE5" s="825"/>
      <c r="AF5" s="825"/>
      <c r="AG5" s="825"/>
      <c r="AH5" s="825"/>
      <c r="AI5" s="825"/>
      <c r="AJ5" s="825"/>
      <c r="AK5" s="825"/>
      <c r="AL5" s="825"/>
      <c r="AM5" s="826"/>
      <c r="AO5" s="849"/>
      <c r="AP5" s="849"/>
      <c r="AQ5" s="849"/>
      <c r="AR5" s="849"/>
      <c r="AS5" s="849"/>
      <c r="AT5" s="849"/>
      <c r="AU5" s="849"/>
      <c r="AV5" s="849"/>
      <c r="AW5" s="849"/>
      <c r="AX5" s="849"/>
      <c r="AY5" s="849"/>
      <c r="AZ5" s="849"/>
    </row>
    <row r="6" spans="2:52" ht="13.95" customHeight="1" x14ac:dyDescent="0.25">
      <c r="B6" s="840"/>
      <c r="C6" s="841"/>
      <c r="D6" s="841"/>
      <c r="E6" s="841"/>
      <c r="F6" s="841"/>
      <c r="G6" s="841"/>
      <c r="H6" s="841"/>
      <c r="I6" s="841"/>
      <c r="J6" s="841"/>
      <c r="K6" s="841"/>
      <c r="L6" s="841"/>
      <c r="M6" s="841"/>
      <c r="N6" s="841"/>
      <c r="O6" s="841"/>
      <c r="P6" s="841"/>
      <c r="Q6" s="841"/>
      <c r="R6" s="841"/>
      <c r="S6" s="841"/>
      <c r="T6" s="841"/>
      <c r="U6" s="841"/>
      <c r="V6" s="841"/>
      <c r="W6" s="841"/>
      <c r="X6" s="841"/>
      <c r="Y6" s="841"/>
      <c r="Z6" s="842"/>
      <c r="AB6" s="821"/>
      <c r="AC6" s="822"/>
      <c r="AD6" s="822"/>
      <c r="AE6" s="822"/>
      <c r="AF6" s="822"/>
      <c r="AG6" s="822"/>
      <c r="AH6" s="822"/>
      <c r="AI6" s="822"/>
      <c r="AJ6" s="822"/>
      <c r="AK6" s="822"/>
      <c r="AL6" s="822"/>
      <c r="AM6" s="823"/>
      <c r="AO6" s="849"/>
      <c r="AP6" s="849"/>
      <c r="AQ6" s="849"/>
      <c r="AR6" s="849"/>
      <c r="AS6" s="849"/>
      <c r="AT6" s="849"/>
      <c r="AU6" s="849"/>
      <c r="AV6" s="849"/>
      <c r="AW6" s="849"/>
      <c r="AX6" s="849"/>
      <c r="AY6" s="849"/>
      <c r="AZ6" s="849"/>
    </row>
    <row r="7" spans="2:52" ht="13.95" customHeight="1" x14ac:dyDescent="0.25">
      <c r="B7" s="840"/>
      <c r="C7" s="841"/>
      <c r="D7" s="841"/>
      <c r="E7" s="841"/>
      <c r="F7" s="841"/>
      <c r="G7" s="841"/>
      <c r="H7" s="841"/>
      <c r="I7" s="841"/>
      <c r="J7" s="841"/>
      <c r="K7" s="841"/>
      <c r="L7" s="841"/>
      <c r="M7" s="841"/>
      <c r="N7" s="841"/>
      <c r="O7" s="841"/>
      <c r="P7" s="841"/>
      <c r="Q7" s="841"/>
      <c r="R7" s="841"/>
      <c r="S7" s="841"/>
      <c r="T7" s="841"/>
      <c r="U7" s="841"/>
      <c r="V7" s="841"/>
      <c r="W7" s="841"/>
      <c r="X7" s="841"/>
      <c r="Y7" s="841"/>
      <c r="Z7" s="842"/>
      <c r="AB7" s="824"/>
      <c r="AC7" s="825"/>
      <c r="AD7" s="825"/>
      <c r="AE7" s="825"/>
      <c r="AF7" s="825"/>
      <c r="AG7" s="825"/>
      <c r="AH7" s="825"/>
      <c r="AI7" s="825"/>
      <c r="AJ7" s="825"/>
      <c r="AK7" s="825"/>
      <c r="AL7" s="825"/>
      <c r="AM7" s="826"/>
      <c r="AO7" s="849"/>
      <c r="AP7" s="849"/>
      <c r="AQ7" s="849"/>
      <c r="AR7" s="849"/>
      <c r="AS7" s="849"/>
      <c r="AT7" s="849"/>
      <c r="AU7" s="849"/>
      <c r="AV7" s="849"/>
      <c r="AW7" s="849"/>
      <c r="AX7" s="849"/>
      <c r="AY7" s="849"/>
      <c r="AZ7" s="849"/>
    </row>
    <row r="8" spans="2:52" ht="13.95" customHeight="1" x14ac:dyDescent="0.25">
      <c r="B8" s="840"/>
      <c r="C8" s="841"/>
      <c r="D8" s="841"/>
      <c r="E8" s="841"/>
      <c r="F8" s="841"/>
      <c r="G8" s="841"/>
      <c r="H8" s="841"/>
      <c r="I8" s="841"/>
      <c r="J8" s="841"/>
      <c r="K8" s="841"/>
      <c r="L8" s="841"/>
      <c r="M8" s="841"/>
      <c r="N8" s="841"/>
      <c r="O8" s="841"/>
      <c r="P8" s="841"/>
      <c r="Q8" s="841"/>
      <c r="R8" s="841"/>
      <c r="S8" s="841"/>
      <c r="T8" s="841"/>
      <c r="U8" s="841"/>
      <c r="V8" s="841"/>
      <c r="W8" s="841"/>
      <c r="X8" s="841"/>
      <c r="Y8" s="841"/>
      <c r="Z8" s="842"/>
      <c r="AB8" s="821" t="s">
        <v>4340</v>
      </c>
      <c r="AC8" s="822"/>
      <c r="AD8" s="822"/>
      <c r="AE8" s="822"/>
      <c r="AF8" s="822"/>
      <c r="AG8" s="822"/>
      <c r="AH8" s="822"/>
      <c r="AI8" s="822"/>
      <c r="AJ8" s="822"/>
      <c r="AK8" s="822"/>
      <c r="AL8" s="822"/>
      <c r="AM8" s="823"/>
      <c r="AO8" s="849"/>
      <c r="AP8" s="849"/>
      <c r="AQ8" s="849"/>
      <c r="AR8" s="849"/>
      <c r="AS8" s="849"/>
      <c r="AT8" s="849"/>
      <c r="AU8" s="849"/>
      <c r="AV8" s="849"/>
      <c r="AW8" s="849"/>
      <c r="AX8" s="849"/>
      <c r="AY8" s="849"/>
      <c r="AZ8" s="849"/>
    </row>
    <row r="9" spans="2:52" ht="13.95" customHeight="1" x14ac:dyDescent="0.25">
      <c r="B9" s="843"/>
      <c r="C9" s="844"/>
      <c r="D9" s="844"/>
      <c r="E9" s="844"/>
      <c r="F9" s="844"/>
      <c r="G9" s="844"/>
      <c r="H9" s="844"/>
      <c r="I9" s="844"/>
      <c r="J9" s="844"/>
      <c r="K9" s="844"/>
      <c r="L9" s="844"/>
      <c r="M9" s="844"/>
      <c r="N9" s="844"/>
      <c r="O9" s="844"/>
      <c r="P9" s="844"/>
      <c r="Q9" s="844"/>
      <c r="R9" s="844"/>
      <c r="S9" s="844"/>
      <c r="T9" s="844"/>
      <c r="U9" s="844"/>
      <c r="V9" s="844"/>
      <c r="W9" s="844"/>
      <c r="X9" s="844"/>
      <c r="Y9" s="844"/>
      <c r="Z9" s="845"/>
      <c r="AB9" s="824"/>
      <c r="AC9" s="825"/>
      <c r="AD9" s="825"/>
      <c r="AE9" s="825"/>
      <c r="AF9" s="825"/>
      <c r="AG9" s="825"/>
      <c r="AH9" s="825"/>
      <c r="AI9" s="825"/>
      <c r="AJ9" s="825"/>
      <c r="AK9" s="825"/>
      <c r="AL9" s="825"/>
      <c r="AM9" s="826"/>
      <c r="AO9" s="849"/>
      <c r="AP9" s="849"/>
      <c r="AQ9" s="849"/>
      <c r="AR9" s="849"/>
      <c r="AS9" s="849"/>
      <c r="AT9" s="849"/>
      <c r="AU9" s="849"/>
      <c r="AV9" s="849"/>
      <c r="AW9" s="849"/>
      <c r="AX9" s="849"/>
      <c r="AY9" s="849"/>
      <c r="AZ9" s="849"/>
    </row>
    <row r="10" spans="2:52" ht="15" customHeight="1" x14ac:dyDescent="0.25">
      <c r="B10" s="848" t="s">
        <v>4218</v>
      </c>
      <c r="C10" s="848"/>
      <c r="D10" s="848"/>
      <c r="E10" s="848"/>
      <c r="F10" s="848"/>
      <c r="G10" s="848"/>
      <c r="H10" s="848"/>
      <c r="I10" s="848"/>
      <c r="J10" s="848"/>
      <c r="K10" s="848"/>
      <c r="L10" s="848"/>
      <c r="M10" s="848"/>
      <c r="N10" s="848"/>
      <c r="O10" s="848"/>
      <c r="P10" s="848"/>
      <c r="Q10" s="848"/>
      <c r="R10" s="848"/>
      <c r="S10" s="848"/>
      <c r="T10" s="848"/>
      <c r="U10" s="848"/>
      <c r="V10" s="848"/>
      <c r="W10" s="848"/>
      <c r="X10" s="848"/>
      <c r="Y10" s="848"/>
      <c r="Z10" s="848"/>
      <c r="AB10" s="821"/>
      <c r="AC10" s="822"/>
      <c r="AD10" s="822"/>
      <c r="AE10" s="822"/>
      <c r="AF10" s="822"/>
      <c r="AG10" s="822"/>
      <c r="AH10" s="822"/>
      <c r="AI10" s="822"/>
      <c r="AJ10" s="822"/>
      <c r="AK10" s="822"/>
      <c r="AL10" s="822"/>
      <c r="AM10" s="823"/>
      <c r="AO10" s="849"/>
      <c r="AP10" s="849"/>
      <c r="AQ10" s="849"/>
      <c r="AR10" s="849"/>
      <c r="AS10" s="849"/>
      <c r="AT10" s="849"/>
      <c r="AU10" s="849"/>
      <c r="AV10" s="849"/>
      <c r="AW10" s="849"/>
      <c r="AX10" s="849"/>
      <c r="AY10" s="849"/>
      <c r="AZ10" s="849"/>
    </row>
    <row r="11" spans="2:52" ht="13.95" customHeight="1" x14ac:dyDescent="0.25">
      <c r="B11" s="850" t="s">
        <v>4640</v>
      </c>
      <c r="C11" s="851"/>
      <c r="D11" s="851"/>
      <c r="E11" s="851"/>
      <c r="F11" s="851"/>
      <c r="G11" s="851"/>
      <c r="H11" s="851"/>
      <c r="I11" s="851"/>
      <c r="J11" s="851"/>
      <c r="K11" s="851"/>
      <c r="L11" s="851"/>
      <c r="M11" s="851"/>
      <c r="N11" s="851"/>
      <c r="O11" s="851"/>
      <c r="P11" s="851"/>
      <c r="Q11" s="851"/>
      <c r="R11" s="851"/>
      <c r="S11" s="851"/>
      <c r="T11" s="851"/>
      <c r="U11" s="851"/>
      <c r="V11" s="851"/>
      <c r="W11" s="851"/>
      <c r="X11" s="851"/>
      <c r="Y11" s="851"/>
      <c r="Z11" s="852"/>
      <c r="AB11" s="824"/>
      <c r="AC11" s="825"/>
      <c r="AD11" s="825"/>
      <c r="AE11" s="825"/>
      <c r="AF11" s="825"/>
      <c r="AG11" s="825"/>
      <c r="AH11" s="825"/>
      <c r="AI11" s="825"/>
      <c r="AJ11" s="825"/>
      <c r="AK11" s="825"/>
      <c r="AL11" s="825"/>
      <c r="AM11" s="826"/>
      <c r="AO11" s="849"/>
      <c r="AP11" s="849"/>
      <c r="AQ11" s="849"/>
      <c r="AR11" s="849"/>
      <c r="AS11" s="849"/>
      <c r="AT11" s="849"/>
      <c r="AU11" s="849"/>
      <c r="AV11" s="849"/>
      <c r="AW11" s="849"/>
      <c r="AX11" s="849"/>
      <c r="AY11" s="849"/>
      <c r="AZ11" s="849"/>
    </row>
    <row r="12" spans="2:52" ht="14.4" customHeight="1" x14ac:dyDescent="0.25">
      <c r="B12" s="853"/>
      <c r="C12" s="854"/>
      <c r="D12" s="854"/>
      <c r="E12" s="854"/>
      <c r="F12" s="854"/>
      <c r="G12" s="854"/>
      <c r="H12" s="854"/>
      <c r="I12" s="854"/>
      <c r="J12" s="854"/>
      <c r="K12" s="854"/>
      <c r="L12" s="854"/>
      <c r="M12" s="854"/>
      <c r="N12" s="854"/>
      <c r="O12" s="854"/>
      <c r="P12" s="854"/>
      <c r="Q12" s="854"/>
      <c r="R12" s="854"/>
      <c r="S12" s="854"/>
      <c r="T12" s="854"/>
      <c r="U12" s="854"/>
      <c r="V12" s="854"/>
      <c r="W12" s="854"/>
      <c r="X12" s="854"/>
      <c r="Y12" s="854"/>
      <c r="Z12" s="855"/>
      <c r="AB12" s="827"/>
      <c r="AC12" s="827"/>
      <c r="AD12" s="827"/>
      <c r="AE12" s="827"/>
      <c r="AF12" s="827"/>
      <c r="AG12" s="827"/>
      <c r="AH12" s="827"/>
      <c r="AI12" s="827"/>
      <c r="AJ12" s="827"/>
      <c r="AK12" s="827"/>
      <c r="AL12" s="827"/>
      <c r="AM12" s="827"/>
      <c r="AO12" s="849"/>
      <c r="AP12" s="849"/>
      <c r="AQ12" s="849"/>
      <c r="AR12" s="849"/>
      <c r="AS12" s="849"/>
      <c r="AT12" s="849"/>
      <c r="AU12" s="849"/>
      <c r="AV12" s="849"/>
      <c r="AW12" s="849"/>
      <c r="AX12" s="849"/>
      <c r="AY12" s="849"/>
      <c r="AZ12" s="849"/>
    </row>
    <row r="13" spans="2:52" ht="13.95" customHeight="1" x14ac:dyDescent="0.25">
      <c r="B13" s="853"/>
      <c r="C13" s="854"/>
      <c r="D13" s="854"/>
      <c r="E13" s="854"/>
      <c r="F13" s="854"/>
      <c r="G13" s="854"/>
      <c r="H13" s="854"/>
      <c r="I13" s="854"/>
      <c r="J13" s="854"/>
      <c r="K13" s="854"/>
      <c r="L13" s="854"/>
      <c r="M13" s="854"/>
      <c r="N13" s="854"/>
      <c r="O13" s="854"/>
      <c r="P13" s="854"/>
      <c r="Q13" s="854"/>
      <c r="R13" s="854"/>
      <c r="S13" s="854"/>
      <c r="T13" s="854"/>
      <c r="U13" s="854"/>
      <c r="V13" s="854"/>
      <c r="W13" s="854"/>
      <c r="X13" s="854"/>
      <c r="Y13" s="854"/>
      <c r="Z13" s="855"/>
      <c r="AB13" s="827"/>
      <c r="AC13" s="827"/>
      <c r="AD13" s="827"/>
      <c r="AE13" s="827"/>
      <c r="AF13" s="827"/>
      <c r="AG13" s="827"/>
      <c r="AH13" s="827"/>
      <c r="AI13" s="827"/>
      <c r="AJ13" s="827"/>
      <c r="AK13" s="827"/>
      <c r="AL13" s="827"/>
      <c r="AM13" s="827"/>
      <c r="AO13" s="849"/>
      <c r="AP13" s="849"/>
      <c r="AQ13" s="849"/>
      <c r="AR13" s="849"/>
      <c r="AS13" s="849"/>
      <c r="AT13" s="849"/>
      <c r="AU13" s="849"/>
      <c r="AV13" s="849"/>
      <c r="AW13" s="849"/>
      <c r="AX13" s="849"/>
      <c r="AY13" s="849"/>
      <c r="AZ13" s="849"/>
    </row>
    <row r="14" spans="2:52" ht="15" customHeight="1" x14ac:dyDescent="0.25">
      <c r="B14" s="853"/>
      <c r="C14" s="854"/>
      <c r="D14" s="854"/>
      <c r="E14" s="854"/>
      <c r="F14" s="854"/>
      <c r="G14" s="854"/>
      <c r="H14" s="854"/>
      <c r="I14" s="854"/>
      <c r="J14" s="854"/>
      <c r="K14" s="854"/>
      <c r="L14" s="854"/>
      <c r="M14" s="854"/>
      <c r="N14" s="854"/>
      <c r="O14" s="854"/>
      <c r="P14" s="854"/>
      <c r="Q14" s="854"/>
      <c r="R14" s="854"/>
      <c r="S14" s="854"/>
      <c r="T14" s="854"/>
      <c r="U14" s="854"/>
      <c r="V14" s="854"/>
      <c r="W14" s="854"/>
      <c r="X14" s="854"/>
      <c r="Y14" s="854"/>
      <c r="Z14" s="855"/>
      <c r="AB14" s="830" t="s">
        <v>4217</v>
      </c>
      <c r="AC14" s="830"/>
      <c r="AD14" s="830"/>
      <c r="AE14" s="830"/>
      <c r="AF14" s="830"/>
      <c r="AG14" s="830"/>
      <c r="AH14" s="830"/>
      <c r="AI14" s="830"/>
      <c r="AJ14" s="830"/>
      <c r="AK14" s="830"/>
      <c r="AL14" s="830"/>
      <c r="AM14" s="830"/>
    </row>
    <row r="15" spans="2:52" ht="13.95" customHeight="1" x14ac:dyDescent="0.25">
      <c r="B15" s="853"/>
      <c r="C15" s="854"/>
      <c r="D15" s="854"/>
      <c r="E15" s="854"/>
      <c r="F15" s="854"/>
      <c r="G15" s="854"/>
      <c r="H15" s="854"/>
      <c r="I15" s="854"/>
      <c r="J15" s="854"/>
      <c r="K15" s="854"/>
      <c r="L15" s="854"/>
      <c r="M15" s="854"/>
      <c r="N15" s="854"/>
      <c r="O15" s="854"/>
      <c r="P15" s="854"/>
      <c r="Q15" s="854"/>
      <c r="R15" s="854"/>
      <c r="S15" s="854"/>
      <c r="T15" s="854"/>
      <c r="U15" s="854"/>
      <c r="V15" s="854"/>
      <c r="W15" s="854"/>
      <c r="X15" s="854"/>
      <c r="Y15" s="854"/>
      <c r="Z15" s="855"/>
      <c r="AB15" s="832" t="s">
        <v>4219</v>
      </c>
      <c r="AC15" s="832"/>
      <c r="AD15" s="832"/>
      <c r="AE15" s="832"/>
      <c r="AF15" s="832"/>
      <c r="AG15" s="832"/>
      <c r="AH15" s="832"/>
      <c r="AI15" s="832"/>
      <c r="AJ15" s="832"/>
      <c r="AK15" s="832"/>
      <c r="AL15" s="832"/>
      <c r="AM15" s="832"/>
      <c r="AO15" s="830" t="s">
        <v>4220</v>
      </c>
      <c r="AP15" s="830"/>
      <c r="AQ15" s="830"/>
      <c r="AR15" s="830"/>
      <c r="AS15" s="830"/>
      <c r="AT15" s="830"/>
      <c r="AU15" s="830"/>
      <c r="AV15" s="830"/>
      <c r="AW15" s="830"/>
      <c r="AX15" s="830"/>
      <c r="AY15" s="830"/>
      <c r="AZ15" s="830"/>
    </row>
    <row r="16" spans="2:52" ht="13.95" customHeight="1" x14ac:dyDescent="0.25">
      <c r="B16" s="853"/>
      <c r="C16" s="854"/>
      <c r="D16" s="854"/>
      <c r="E16" s="854"/>
      <c r="F16" s="854"/>
      <c r="G16" s="854"/>
      <c r="H16" s="854"/>
      <c r="I16" s="854"/>
      <c r="J16" s="854"/>
      <c r="K16" s="854"/>
      <c r="L16" s="854"/>
      <c r="M16" s="854"/>
      <c r="N16" s="854"/>
      <c r="O16" s="854"/>
      <c r="P16" s="854"/>
      <c r="Q16" s="854"/>
      <c r="R16" s="854"/>
      <c r="S16" s="854"/>
      <c r="T16" s="854"/>
      <c r="U16" s="854"/>
      <c r="V16" s="854"/>
      <c r="W16" s="854"/>
      <c r="X16" s="854"/>
      <c r="Y16" s="854"/>
      <c r="Z16" s="855"/>
      <c r="AB16" s="832"/>
      <c r="AC16" s="832"/>
      <c r="AD16" s="832"/>
      <c r="AE16" s="832"/>
      <c r="AF16" s="832"/>
      <c r="AG16" s="832"/>
      <c r="AH16" s="832"/>
      <c r="AI16" s="832"/>
      <c r="AJ16" s="832"/>
      <c r="AK16" s="832"/>
      <c r="AL16" s="832"/>
      <c r="AM16" s="832"/>
      <c r="AO16" s="832" t="s">
        <v>4221</v>
      </c>
      <c r="AP16" s="832"/>
      <c r="AQ16" s="832"/>
      <c r="AR16" s="832"/>
      <c r="AS16" s="832"/>
      <c r="AT16" s="832"/>
      <c r="AU16" s="832"/>
      <c r="AV16" s="832"/>
      <c r="AW16" s="832"/>
      <c r="AX16" s="832"/>
      <c r="AY16" s="832"/>
      <c r="AZ16" s="832"/>
    </row>
    <row r="17" spans="2:52" ht="13.95" customHeight="1" x14ac:dyDescent="0.25">
      <c r="B17" s="853"/>
      <c r="C17" s="854"/>
      <c r="D17" s="854"/>
      <c r="E17" s="854"/>
      <c r="F17" s="854"/>
      <c r="G17" s="854"/>
      <c r="H17" s="854"/>
      <c r="I17" s="854"/>
      <c r="J17" s="854"/>
      <c r="K17" s="854"/>
      <c r="L17" s="854"/>
      <c r="M17" s="854"/>
      <c r="N17" s="854"/>
      <c r="O17" s="854"/>
      <c r="P17" s="854"/>
      <c r="Q17" s="854"/>
      <c r="R17" s="854"/>
      <c r="S17" s="854"/>
      <c r="T17" s="854"/>
      <c r="U17" s="854"/>
      <c r="V17" s="854"/>
      <c r="W17" s="854"/>
      <c r="X17" s="854"/>
      <c r="Y17" s="854"/>
      <c r="Z17" s="855"/>
      <c r="AB17" s="833" t="s">
        <v>4222</v>
      </c>
      <c r="AC17" s="833"/>
      <c r="AD17" s="833"/>
      <c r="AE17" s="833"/>
      <c r="AF17" s="833"/>
      <c r="AG17" s="833"/>
      <c r="AH17" s="833"/>
      <c r="AI17" s="833"/>
      <c r="AJ17" s="833"/>
      <c r="AK17" s="833"/>
      <c r="AL17" s="833"/>
      <c r="AM17" s="833"/>
      <c r="AO17" s="832"/>
      <c r="AP17" s="832"/>
      <c r="AQ17" s="832"/>
      <c r="AR17" s="832"/>
      <c r="AS17" s="832"/>
      <c r="AT17" s="832"/>
      <c r="AU17" s="832"/>
      <c r="AV17" s="832"/>
      <c r="AW17" s="832"/>
      <c r="AX17" s="832"/>
      <c r="AY17" s="832"/>
      <c r="AZ17" s="832"/>
    </row>
    <row r="18" spans="2:52" ht="13.95" customHeight="1" x14ac:dyDescent="0.25">
      <c r="B18" s="853"/>
      <c r="C18" s="854"/>
      <c r="D18" s="854"/>
      <c r="E18" s="854"/>
      <c r="F18" s="854"/>
      <c r="G18" s="854"/>
      <c r="H18" s="854"/>
      <c r="I18" s="854"/>
      <c r="J18" s="854"/>
      <c r="K18" s="854"/>
      <c r="L18" s="854"/>
      <c r="M18" s="854"/>
      <c r="N18" s="854"/>
      <c r="O18" s="854"/>
      <c r="P18" s="854"/>
      <c r="Q18" s="854"/>
      <c r="R18" s="854"/>
      <c r="S18" s="854"/>
      <c r="T18" s="854"/>
      <c r="U18" s="854"/>
      <c r="V18" s="854"/>
      <c r="W18" s="854"/>
      <c r="X18" s="854"/>
      <c r="Y18" s="854"/>
      <c r="Z18" s="855"/>
      <c r="AB18" s="833"/>
      <c r="AC18" s="833"/>
      <c r="AD18" s="833"/>
      <c r="AE18" s="833"/>
      <c r="AF18" s="833"/>
      <c r="AG18" s="833"/>
      <c r="AH18" s="833"/>
      <c r="AI18" s="833"/>
      <c r="AJ18" s="833"/>
      <c r="AK18" s="833"/>
      <c r="AL18" s="833"/>
      <c r="AM18" s="833"/>
      <c r="AO18" s="833" t="s">
        <v>4223</v>
      </c>
      <c r="AP18" s="833"/>
      <c r="AQ18" s="833"/>
      <c r="AR18" s="833"/>
      <c r="AS18" s="833"/>
      <c r="AT18" s="833"/>
      <c r="AU18" s="833"/>
      <c r="AV18" s="833"/>
      <c r="AW18" s="833"/>
      <c r="AX18" s="833"/>
      <c r="AY18" s="833"/>
      <c r="AZ18" s="833"/>
    </row>
    <row r="19" spans="2:52" ht="13.95" customHeight="1" x14ac:dyDescent="0.25">
      <c r="B19" s="853"/>
      <c r="C19" s="854"/>
      <c r="D19" s="854"/>
      <c r="E19" s="854"/>
      <c r="F19" s="854"/>
      <c r="G19" s="854"/>
      <c r="H19" s="854"/>
      <c r="I19" s="854"/>
      <c r="J19" s="854"/>
      <c r="K19" s="854"/>
      <c r="L19" s="854"/>
      <c r="M19" s="854"/>
      <c r="N19" s="854"/>
      <c r="O19" s="854"/>
      <c r="P19" s="854"/>
      <c r="Q19" s="854"/>
      <c r="R19" s="854"/>
      <c r="S19" s="854"/>
      <c r="T19" s="854"/>
      <c r="U19" s="854"/>
      <c r="V19" s="854"/>
      <c r="W19" s="854"/>
      <c r="X19" s="854"/>
      <c r="Y19" s="854"/>
      <c r="Z19" s="855"/>
      <c r="AB19" s="832" t="s">
        <v>4224</v>
      </c>
      <c r="AC19" s="832"/>
      <c r="AD19" s="832"/>
      <c r="AE19" s="832"/>
      <c r="AF19" s="832"/>
      <c r="AG19" s="832"/>
      <c r="AH19" s="832"/>
      <c r="AI19" s="832"/>
      <c r="AJ19" s="832"/>
      <c r="AK19" s="832"/>
      <c r="AL19" s="832"/>
      <c r="AM19" s="832"/>
      <c r="AO19" s="833"/>
      <c r="AP19" s="833"/>
      <c r="AQ19" s="833"/>
      <c r="AR19" s="833"/>
      <c r="AS19" s="833"/>
      <c r="AT19" s="833"/>
      <c r="AU19" s="833"/>
      <c r="AV19" s="833"/>
      <c r="AW19" s="833"/>
      <c r="AX19" s="833"/>
      <c r="AY19" s="833"/>
      <c r="AZ19" s="833"/>
    </row>
    <row r="20" spans="2:52" ht="15" customHeight="1" x14ac:dyDescent="0.25">
      <c r="B20" s="853"/>
      <c r="C20" s="854"/>
      <c r="D20" s="854"/>
      <c r="E20" s="854"/>
      <c r="F20" s="854"/>
      <c r="G20" s="854"/>
      <c r="H20" s="854"/>
      <c r="I20" s="854"/>
      <c r="J20" s="854"/>
      <c r="K20" s="854"/>
      <c r="L20" s="854"/>
      <c r="M20" s="854"/>
      <c r="N20" s="854"/>
      <c r="O20" s="854"/>
      <c r="P20" s="854"/>
      <c r="Q20" s="854"/>
      <c r="R20" s="854"/>
      <c r="S20" s="854"/>
      <c r="T20" s="854"/>
      <c r="U20" s="854"/>
      <c r="V20" s="854"/>
      <c r="W20" s="854"/>
      <c r="X20" s="854"/>
      <c r="Y20" s="854"/>
      <c r="Z20" s="855"/>
      <c r="AB20" s="832"/>
      <c r="AC20" s="832"/>
      <c r="AD20" s="832"/>
      <c r="AE20" s="832"/>
      <c r="AF20" s="832"/>
      <c r="AG20" s="832"/>
      <c r="AH20" s="832"/>
      <c r="AI20" s="832"/>
      <c r="AJ20" s="832"/>
      <c r="AK20" s="832"/>
      <c r="AL20" s="832"/>
      <c r="AM20" s="832"/>
      <c r="AO20" s="830" t="s">
        <v>4225</v>
      </c>
      <c r="AP20" s="830"/>
      <c r="AQ20" s="830"/>
      <c r="AR20" s="830"/>
      <c r="AS20" s="830"/>
      <c r="AT20" s="830"/>
      <c r="AU20" s="830"/>
      <c r="AV20" s="830"/>
      <c r="AW20" s="830"/>
      <c r="AX20" s="830"/>
      <c r="AY20" s="830"/>
      <c r="AZ20" s="830"/>
    </row>
    <row r="21" spans="2:52" ht="13.95" customHeight="1" x14ac:dyDescent="0.25">
      <c r="B21" s="853"/>
      <c r="C21" s="854"/>
      <c r="D21" s="854"/>
      <c r="E21" s="854"/>
      <c r="F21" s="854"/>
      <c r="G21" s="854"/>
      <c r="H21" s="854"/>
      <c r="I21" s="854"/>
      <c r="J21" s="854"/>
      <c r="K21" s="854"/>
      <c r="L21" s="854"/>
      <c r="M21" s="854"/>
      <c r="N21" s="854"/>
      <c r="O21" s="854"/>
      <c r="P21" s="854"/>
      <c r="Q21" s="854"/>
      <c r="R21" s="854"/>
      <c r="S21" s="854"/>
      <c r="T21" s="854"/>
      <c r="U21" s="854"/>
      <c r="V21" s="854"/>
      <c r="W21" s="854"/>
      <c r="X21" s="854"/>
      <c r="Y21" s="854"/>
      <c r="Z21" s="855"/>
      <c r="AB21" s="836" t="s">
        <v>4226</v>
      </c>
      <c r="AC21" s="828"/>
      <c r="AD21" s="828"/>
      <c r="AE21" s="828"/>
      <c r="AF21" s="828"/>
      <c r="AG21" s="828"/>
      <c r="AH21" s="828"/>
      <c r="AI21" s="828"/>
      <c r="AJ21" s="828"/>
      <c r="AK21" s="828"/>
      <c r="AL21" s="828"/>
      <c r="AM21" s="828"/>
      <c r="AO21" s="832" t="s">
        <v>4227</v>
      </c>
      <c r="AP21" s="832"/>
      <c r="AQ21" s="832"/>
      <c r="AR21" s="832"/>
      <c r="AS21" s="832"/>
      <c r="AT21" s="832"/>
      <c r="AU21" s="832"/>
      <c r="AV21" s="832"/>
      <c r="AW21" s="832"/>
      <c r="AX21" s="832"/>
      <c r="AY21" s="832"/>
      <c r="AZ21" s="832"/>
    </row>
    <row r="22" spans="2:52" ht="13.95" customHeight="1" x14ac:dyDescent="0.25">
      <c r="B22" s="853"/>
      <c r="C22" s="854"/>
      <c r="D22" s="854"/>
      <c r="E22" s="854"/>
      <c r="F22" s="854"/>
      <c r="G22" s="854"/>
      <c r="H22" s="854"/>
      <c r="I22" s="854"/>
      <c r="J22" s="854"/>
      <c r="K22" s="854"/>
      <c r="L22" s="854"/>
      <c r="M22" s="854"/>
      <c r="N22" s="854"/>
      <c r="O22" s="854"/>
      <c r="P22" s="854"/>
      <c r="Q22" s="854"/>
      <c r="R22" s="854"/>
      <c r="S22" s="854"/>
      <c r="T22" s="854"/>
      <c r="U22" s="854"/>
      <c r="V22" s="854"/>
      <c r="W22" s="854"/>
      <c r="X22" s="854"/>
      <c r="Y22" s="854"/>
      <c r="Z22" s="855"/>
      <c r="AB22" s="828"/>
      <c r="AC22" s="828"/>
      <c r="AD22" s="828"/>
      <c r="AE22" s="828"/>
      <c r="AF22" s="828"/>
      <c r="AG22" s="828"/>
      <c r="AH22" s="828"/>
      <c r="AI22" s="828"/>
      <c r="AJ22" s="828"/>
      <c r="AK22" s="828"/>
      <c r="AL22" s="828"/>
      <c r="AM22" s="828"/>
      <c r="AO22" s="832"/>
      <c r="AP22" s="832"/>
      <c r="AQ22" s="832"/>
      <c r="AR22" s="832"/>
      <c r="AS22" s="832"/>
      <c r="AT22" s="832"/>
      <c r="AU22" s="832"/>
      <c r="AV22" s="832"/>
      <c r="AW22" s="832"/>
      <c r="AX22" s="832"/>
      <c r="AY22" s="832"/>
      <c r="AZ22" s="832"/>
    </row>
    <row r="23" spans="2:52" ht="13.95" customHeight="1" x14ac:dyDescent="0.25">
      <c r="B23" s="853"/>
      <c r="C23" s="854"/>
      <c r="D23" s="854"/>
      <c r="E23" s="854"/>
      <c r="F23" s="854"/>
      <c r="G23" s="854"/>
      <c r="H23" s="854"/>
      <c r="I23" s="854"/>
      <c r="J23" s="854"/>
      <c r="K23" s="854"/>
      <c r="L23" s="854"/>
      <c r="M23" s="854"/>
      <c r="N23" s="854"/>
      <c r="O23" s="854"/>
      <c r="P23" s="854"/>
      <c r="Q23" s="854"/>
      <c r="R23" s="854"/>
      <c r="S23" s="854"/>
      <c r="T23" s="854"/>
      <c r="U23" s="854"/>
      <c r="V23" s="854"/>
      <c r="W23" s="854"/>
      <c r="X23" s="854"/>
      <c r="Y23" s="854"/>
      <c r="Z23" s="855"/>
      <c r="AB23" s="828" t="s">
        <v>4228</v>
      </c>
      <c r="AC23" s="828"/>
      <c r="AD23" s="828"/>
      <c r="AE23" s="828"/>
      <c r="AF23" s="828"/>
      <c r="AG23" s="828"/>
      <c r="AH23" s="828"/>
      <c r="AI23" s="828"/>
      <c r="AJ23" s="828"/>
      <c r="AK23" s="828"/>
      <c r="AL23" s="828"/>
      <c r="AM23" s="828"/>
      <c r="AO23" s="833" t="s">
        <v>4229</v>
      </c>
      <c r="AP23" s="833"/>
      <c r="AQ23" s="833"/>
      <c r="AR23" s="833"/>
      <c r="AS23" s="833"/>
      <c r="AT23" s="833"/>
      <c r="AU23" s="833"/>
      <c r="AV23" s="833"/>
      <c r="AW23" s="833"/>
      <c r="AX23" s="833"/>
      <c r="AY23" s="833"/>
      <c r="AZ23" s="833"/>
    </row>
    <row r="24" spans="2:52" ht="13.95" customHeight="1" x14ac:dyDescent="0.25">
      <c r="B24" s="853"/>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5"/>
      <c r="AB24" s="828"/>
      <c r="AC24" s="828"/>
      <c r="AD24" s="828"/>
      <c r="AE24" s="828"/>
      <c r="AF24" s="828"/>
      <c r="AG24" s="828"/>
      <c r="AH24" s="828"/>
      <c r="AI24" s="828"/>
      <c r="AJ24" s="828"/>
      <c r="AK24" s="828"/>
      <c r="AL24" s="828"/>
      <c r="AM24" s="828"/>
      <c r="AN24" s="6"/>
      <c r="AO24" s="833"/>
      <c r="AP24" s="833"/>
      <c r="AQ24" s="833"/>
      <c r="AR24" s="833"/>
      <c r="AS24" s="833"/>
      <c r="AT24" s="833"/>
      <c r="AU24" s="833"/>
      <c r="AV24" s="833"/>
      <c r="AW24" s="833"/>
      <c r="AX24" s="833"/>
      <c r="AY24" s="833"/>
      <c r="AZ24" s="833"/>
    </row>
    <row r="25" spans="2:52" ht="13.95" customHeight="1" x14ac:dyDescent="0.25">
      <c r="B25" s="853"/>
      <c r="C25" s="854"/>
      <c r="D25" s="854"/>
      <c r="E25" s="854"/>
      <c r="F25" s="854"/>
      <c r="G25" s="854"/>
      <c r="H25" s="854"/>
      <c r="I25" s="854"/>
      <c r="J25" s="854"/>
      <c r="K25" s="854"/>
      <c r="L25" s="854"/>
      <c r="M25" s="854"/>
      <c r="N25" s="854"/>
      <c r="O25" s="854"/>
      <c r="P25" s="854"/>
      <c r="Q25" s="854"/>
      <c r="R25" s="854"/>
      <c r="S25" s="854"/>
      <c r="T25" s="854"/>
      <c r="U25" s="854"/>
      <c r="V25" s="854"/>
      <c r="W25" s="854"/>
      <c r="X25" s="854"/>
      <c r="Y25" s="854"/>
      <c r="Z25" s="855"/>
      <c r="AB25" s="829" t="s">
        <v>4298</v>
      </c>
      <c r="AC25" s="830"/>
      <c r="AD25" s="830"/>
      <c r="AE25" s="830"/>
      <c r="AF25" s="830"/>
      <c r="AG25" s="830"/>
      <c r="AH25" s="830"/>
      <c r="AI25" s="830"/>
      <c r="AJ25" s="830"/>
      <c r="AK25" s="830"/>
      <c r="AL25" s="830"/>
      <c r="AM25" s="830"/>
    </row>
    <row r="26" spans="2:52" ht="13.95" customHeight="1" x14ac:dyDescent="0.25">
      <c r="B26" s="853"/>
      <c r="C26" s="854"/>
      <c r="D26" s="854"/>
      <c r="E26" s="854"/>
      <c r="F26" s="854"/>
      <c r="G26" s="854"/>
      <c r="H26" s="854"/>
      <c r="I26" s="854"/>
      <c r="J26" s="854"/>
      <c r="K26" s="854"/>
      <c r="L26" s="854"/>
      <c r="M26" s="854"/>
      <c r="N26" s="854"/>
      <c r="O26" s="854"/>
      <c r="P26" s="854"/>
      <c r="Q26" s="854"/>
      <c r="R26" s="854"/>
      <c r="S26" s="854"/>
      <c r="T26" s="854"/>
      <c r="U26" s="854"/>
      <c r="V26" s="854"/>
      <c r="W26" s="854"/>
      <c r="X26" s="854"/>
      <c r="Y26" s="854"/>
      <c r="Z26" s="855"/>
      <c r="AB26" s="831" t="s">
        <v>4301</v>
      </c>
      <c r="AC26" s="832"/>
      <c r="AD26" s="832"/>
      <c r="AE26" s="832"/>
      <c r="AF26" s="832"/>
      <c r="AG26" s="832"/>
      <c r="AH26" s="832"/>
      <c r="AI26" s="832"/>
      <c r="AJ26" s="832"/>
      <c r="AK26" s="832"/>
      <c r="AL26" s="832"/>
      <c r="AM26" s="832"/>
    </row>
    <row r="27" spans="2:52" ht="13.95" customHeight="1" x14ac:dyDescent="0.25">
      <c r="B27" s="853"/>
      <c r="C27" s="854"/>
      <c r="D27" s="854"/>
      <c r="E27" s="854"/>
      <c r="F27" s="854"/>
      <c r="G27" s="854"/>
      <c r="H27" s="854"/>
      <c r="I27" s="854"/>
      <c r="J27" s="854"/>
      <c r="K27" s="854"/>
      <c r="L27" s="854"/>
      <c r="M27" s="854"/>
      <c r="N27" s="854"/>
      <c r="O27" s="854"/>
      <c r="P27" s="854"/>
      <c r="Q27" s="854"/>
      <c r="R27" s="854"/>
      <c r="S27" s="854"/>
      <c r="T27" s="854"/>
      <c r="U27" s="854"/>
      <c r="V27" s="854"/>
      <c r="W27" s="854"/>
      <c r="X27" s="854"/>
      <c r="Y27" s="854"/>
      <c r="Z27" s="855"/>
      <c r="AB27" s="832"/>
      <c r="AC27" s="832"/>
      <c r="AD27" s="832"/>
      <c r="AE27" s="832"/>
      <c r="AF27" s="832"/>
      <c r="AG27" s="832"/>
      <c r="AH27" s="832"/>
      <c r="AI27" s="832"/>
      <c r="AJ27" s="832"/>
      <c r="AK27" s="832"/>
      <c r="AL27" s="832"/>
      <c r="AM27" s="832"/>
    </row>
    <row r="28" spans="2:52" x14ac:dyDescent="0.25">
      <c r="B28" s="853"/>
      <c r="C28" s="854"/>
      <c r="D28" s="854"/>
      <c r="E28" s="854"/>
      <c r="F28" s="854"/>
      <c r="G28" s="854"/>
      <c r="H28" s="854"/>
      <c r="I28" s="854"/>
      <c r="J28" s="854"/>
      <c r="K28" s="854"/>
      <c r="L28" s="854"/>
      <c r="M28" s="854"/>
      <c r="N28" s="854"/>
      <c r="O28" s="854"/>
      <c r="P28" s="854"/>
      <c r="Q28" s="854"/>
      <c r="R28" s="854"/>
      <c r="S28" s="854"/>
      <c r="T28" s="854"/>
      <c r="U28" s="854"/>
      <c r="V28" s="854"/>
      <c r="W28" s="854"/>
      <c r="X28" s="854"/>
      <c r="Y28" s="854"/>
      <c r="Z28" s="855"/>
      <c r="AB28" s="833" t="s">
        <v>4328</v>
      </c>
      <c r="AC28" s="833"/>
      <c r="AD28" s="833"/>
      <c r="AE28" s="833"/>
      <c r="AF28" s="833"/>
      <c r="AG28" s="833"/>
      <c r="AH28" s="833"/>
      <c r="AI28" s="833"/>
      <c r="AJ28" s="833"/>
      <c r="AK28" s="833"/>
      <c r="AL28" s="833"/>
      <c r="AM28" s="833"/>
    </row>
    <row r="29" spans="2:52" x14ac:dyDescent="0.25">
      <c r="B29" s="853"/>
      <c r="C29" s="854"/>
      <c r="D29" s="854"/>
      <c r="E29" s="854"/>
      <c r="F29" s="854"/>
      <c r="G29" s="854"/>
      <c r="H29" s="854"/>
      <c r="I29" s="854"/>
      <c r="J29" s="854"/>
      <c r="K29" s="854"/>
      <c r="L29" s="854"/>
      <c r="M29" s="854"/>
      <c r="N29" s="854"/>
      <c r="O29" s="854"/>
      <c r="P29" s="854"/>
      <c r="Q29" s="854"/>
      <c r="R29" s="854"/>
      <c r="S29" s="854"/>
      <c r="T29" s="854"/>
      <c r="U29" s="854"/>
      <c r="V29" s="854"/>
      <c r="W29" s="854"/>
      <c r="X29" s="854"/>
      <c r="Y29" s="854"/>
      <c r="Z29" s="855"/>
      <c r="AB29" s="833"/>
      <c r="AC29" s="833"/>
      <c r="AD29" s="833"/>
      <c r="AE29" s="833"/>
      <c r="AF29" s="833"/>
      <c r="AG29" s="833"/>
      <c r="AH29" s="833"/>
      <c r="AI29" s="833"/>
      <c r="AJ29" s="833"/>
      <c r="AK29" s="833"/>
      <c r="AL29" s="833"/>
      <c r="AM29" s="833"/>
    </row>
    <row r="30" spans="2:52" x14ac:dyDescent="0.25">
      <c r="B30" s="853"/>
      <c r="C30" s="854"/>
      <c r="D30" s="854"/>
      <c r="E30" s="854"/>
      <c r="F30" s="854"/>
      <c r="G30" s="854"/>
      <c r="H30" s="854"/>
      <c r="I30" s="854"/>
      <c r="J30" s="854"/>
      <c r="K30" s="854"/>
      <c r="L30" s="854"/>
      <c r="M30" s="854"/>
      <c r="N30" s="854"/>
      <c r="O30" s="854"/>
      <c r="P30" s="854"/>
      <c r="Q30" s="854"/>
      <c r="R30" s="854"/>
      <c r="S30" s="854"/>
      <c r="T30" s="854"/>
      <c r="U30" s="854"/>
      <c r="V30" s="854"/>
      <c r="W30" s="854"/>
      <c r="X30" s="854"/>
      <c r="Y30" s="854"/>
      <c r="Z30" s="855"/>
      <c r="AB30" s="831" t="s">
        <v>4300</v>
      </c>
      <c r="AC30" s="832"/>
      <c r="AD30" s="832"/>
      <c r="AE30" s="832"/>
      <c r="AF30" s="832"/>
      <c r="AG30" s="832"/>
      <c r="AH30" s="832"/>
      <c r="AI30" s="832"/>
      <c r="AJ30" s="832"/>
      <c r="AK30" s="832"/>
      <c r="AL30" s="832"/>
      <c r="AM30" s="832"/>
    </row>
    <row r="31" spans="2:52" x14ac:dyDescent="0.25">
      <c r="B31" s="853"/>
      <c r="C31" s="854"/>
      <c r="D31" s="854"/>
      <c r="E31" s="854"/>
      <c r="F31" s="854"/>
      <c r="G31" s="854"/>
      <c r="H31" s="854"/>
      <c r="I31" s="854"/>
      <c r="J31" s="854"/>
      <c r="K31" s="854"/>
      <c r="L31" s="854"/>
      <c r="M31" s="854"/>
      <c r="N31" s="854"/>
      <c r="O31" s="854"/>
      <c r="P31" s="854"/>
      <c r="Q31" s="854"/>
      <c r="R31" s="854"/>
      <c r="S31" s="854"/>
      <c r="T31" s="854"/>
      <c r="U31" s="854"/>
      <c r="V31" s="854"/>
      <c r="W31" s="854"/>
      <c r="X31" s="854"/>
      <c r="Y31" s="854"/>
      <c r="Z31" s="855"/>
      <c r="AB31" s="832"/>
      <c r="AC31" s="832"/>
      <c r="AD31" s="832"/>
      <c r="AE31" s="832"/>
      <c r="AF31" s="832"/>
      <c r="AG31" s="832"/>
      <c r="AH31" s="832"/>
      <c r="AI31" s="832"/>
      <c r="AJ31" s="832"/>
      <c r="AK31" s="832"/>
      <c r="AL31" s="832"/>
      <c r="AM31" s="832"/>
    </row>
    <row r="32" spans="2:52" x14ac:dyDescent="0.25">
      <c r="B32" s="853"/>
      <c r="C32" s="854"/>
      <c r="D32" s="854"/>
      <c r="E32" s="854"/>
      <c r="F32" s="854"/>
      <c r="G32" s="854"/>
      <c r="H32" s="854"/>
      <c r="I32" s="854"/>
      <c r="J32" s="854"/>
      <c r="K32" s="854"/>
      <c r="L32" s="854"/>
      <c r="M32" s="854"/>
      <c r="N32" s="854"/>
      <c r="O32" s="854"/>
      <c r="P32" s="854"/>
      <c r="Q32" s="854"/>
      <c r="R32" s="854"/>
      <c r="S32" s="854"/>
      <c r="T32" s="854"/>
      <c r="U32" s="854"/>
      <c r="V32" s="854"/>
      <c r="W32" s="854"/>
      <c r="X32" s="854"/>
      <c r="Y32" s="854"/>
      <c r="Z32" s="855"/>
      <c r="AB32" s="833" t="s">
        <v>4299</v>
      </c>
      <c r="AC32" s="833"/>
      <c r="AD32" s="833"/>
      <c r="AE32" s="833"/>
      <c r="AF32" s="833"/>
      <c r="AG32" s="833"/>
      <c r="AH32" s="833"/>
      <c r="AI32" s="833"/>
      <c r="AJ32" s="833"/>
      <c r="AK32" s="833"/>
      <c r="AL32" s="833"/>
      <c r="AM32" s="833"/>
    </row>
    <row r="33" spans="2:39" x14ac:dyDescent="0.25">
      <c r="B33" s="853"/>
      <c r="C33" s="854"/>
      <c r="D33" s="854"/>
      <c r="E33" s="854"/>
      <c r="F33" s="854"/>
      <c r="G33" s="854"/>
      <c r="H33" s="854"/>
      <c r="I33" s="854"/>
      <c r="J33" s="854"/>
      <c r="K33" s="854"/>
      <c r="L33" s="854"/>
      <c r="M33" s="854"/>
      <c r="N33" s="854"/>
      <c r="O33" s="854"/>
      <c r="P33" s="854"/>
      <c r="Q33" s="854"/>
      <c r="R33" s="854"/>
      <c r="S33" s="854"/>
      <c r="T33" s="854"/>
      <c r="U33" s="854"/>
      <c r="V33" s="854"/>
      <c r="W33" s="854"/>
      <c r="X33" s="854"/>
      <c r="Y33" s="854"/>
      <c r="Z33" s="855"/>
      <c r="AB33" s="833"/>
      <c r="AC33" s="833"/>
      <c r="AD33" s="833"/>
      <c r="AE33" s="833"/>
      <c r="AF33" s="833"/>
      <c r="AG33" s="833"/>
      <c r="AH33" s="833"/>
      <c r="AI33" s="833"/>
      <c r="AJ33" s="833"/>
      <c r="AK33" s="833"/>
      <c r="AL33" s="833"/>
      <c r="AM33" s="833"/>
    </row>
    <row r="34" spans="2:39" x14ac:dyDescent="0.25">
      <c r="B34" s="853"/>
      <c r="C34" s="854"/>
      <c r="D34" s="854"/>
      <c r="E34" s="854"/>
      <c r="F34" s="854"/>
      <c r="G34" s="854"/>
      <c r="H34" s="854"/>
      <c r="I34" s="854"/>
      <c r="J34" s="854"/>
      <c r="K34" s="854"/>
      <c r="L34" s="854"/>
      <c r="M34" s="854"/>
      <c r="N34" s="854"/>
      <c r="O34" s="854"/>
      <c r="P34" s="854"/>
      <c r="Q34" s="854"/>
      <c r="R34" s="854"/>
      <c r="S34" s="854"/>
      <c r="T34" s="854"/>
      <c r="U34" s="854"/>
      <c r="V34" s="854"/>
      <c r="W34" s="854"/>
      <c r="X34" s="854"/>
      <c r="Y34" s="854"/>
      <c r="Z34" s="855"/>
    </row>
    <row r="35" spans="2:39" x14ac:dyDescent="0.25">
      <c r="B35" s="853"/>
      <c r="C35" s="854"/>
      <c r="D35" s="854"/>
      <c r="E35" s="854"/>
      <c r="F35" s="854"/>
      <c r="G35" s="854"/>
      <c r="H35" s="854"/>
      <c r="I35" s="854"/>
      <c r="J35" s="854"/>
      <c r="K35" s="854"/>
      <c r="L35" s="854"/>
      <c r="M35" s="854"/>
      <c r="N35" s="854"/>
      <c r="O35" s="854"/>
      <c r="P35" s="854"/>
      <c r="Q35" s="854"/>
      <c r="R35" s="854"/>
      <c r="S35" s="854"/>
      <c r="T35" s="854"/>
      <c r="U35" s="854"/>
      <c r="V35" s="854"/>
      <c r="W35" s="854"/>
      <c r="X35" s="854"/>
      <c r="Y35" s="854"/>
      <c r="Z35" s="855"/>
    </row>
    <row r="36" spans="2:39" x14ac:dyDescent="0.25">
      <c r="B36" s="853"/>
      <c r="C36" s="854"/>
      <c r="D36" s="854"/>
      <c r="E36" s="854"/>
      <c r="F36" s="854"/>
      <c r="G36" s="854"/>
      <c r="H36" s="854"/>
      <c r="I36" s="854"/>
      <c r="J36" s="854"/>
      <c r="K36" s="854"/>
      <c r="L36" s="854"/>
      <c r="M36" s="854"/>
      <c r="N36" s="854"/>
      <c r="O36" s="854"/>
      <c r="P36" s="854"/>
      <c r="Q36" s="854"/>
      <c r="R36" s="854"/>
      <c r="S36" s="854"/>
      <c r="T36" s="854"/>
      <c r="U36" s="854"/>
      <c r="V36" s="854"/>
      <c r="W36" s="854"/>
      <c r="X36" s="854"/>
      <c r="Y36" s="854"/>
      <c r="Z36" s="855"/>
    </row>
    <row r="37" spans="2:39" x14ac:dyDescent="0.25">
      <c r="B37" s="853"/>
      <c r="C37" s="854"/>
      <c r="D37" s="854"/>
      <c r="E37" s="854"/>
      <c r="F37" s="854"/>
      <c r="G37" s="854"/>
      <c r="H37" s="854"/>
      <c r="I37" s="854"/>
      <c r="J37" s="854"/>
      <c r="K37" s="854"/>
      <c r="L37" s="854"/>
      <c r="M37" s="854"/>
      <c r="N37" s="854"/>
      <c r="O37" s="854"/>
      <c r="P37" s="854"/>
      <c r="Q37" s="854"/>
      <c r="R37" s="854"/>
      <c r="S37" s="854"/>
      <c r="T37" s="854"/>
      <c r="U37" s="854"/>
      <c r="V37" s="854"/>
      <c r="W37" s="854"/>
      <c r="X37" s="854"/>
      <c r="Y37" s="854"/>
      <c r="Z37" s="855"/>
    </row>
    <row r="38" spans="2:39" x14ac:dyDescent="0.25">
      <c r="B38" s="853"/>
      <c r="C38" s="854"/>
      <c r="D38" s="854"/>
      <c r="E38" s="854"/>
      <c r="F38" s="854"/>
      <c r="G38" s="854"/>
      <c r="H38" s="854"/>
      <c r="I38" s="854"/>
      <c r="J38" s="854"/>
      <c r="K38" s="854"/>
      <c r="L38" s="854"/>
      <c r="M38" s="854"/>
      <c r="N38" s="854"/>
      <c r="O38" s="854"/>
      <c r="P38" s="854"/>
      <c r="Q38" s="854"/>
      <c r="R38" s="854"/>
      <c r="S38" s="854"/>
      <c r="T38" s="854"/>
      <c r="U38" s="854"/>
      <c r="V38" s="854"/>
      <c r="W38" s="854"/>
      <c r="X38" s="854"/>
      <c r="Y38" s="854"/>
      <c r="Z38" s="855"/>
    </row>
    <row r="39" spans="2:39" x14ac:dyDescent="0.25">
      <c r="B39" s="853"/>
      <c r="C39" s="854"/>
      <c r="D39" s="854"/>
      <c r="E39" s="854"/>
      <c r="F39" s="854"/>
      <c r="G39" s="854"/>
      <c r="H39" s="854"/>
      <c r="I39" s="854"/>
      <c r="J39" s="854"/>
      <c r="K39" s="854"/>
      <c r="L39" s="854"/>
      <c r="M39" s="854"/>
      <c r="N39" s="854"/>
      <c r="O39" s="854"/>
      <c r="P39" s="854"/>
      <c r="Q39" s="854"/>
      <c r="R39" s="854"/>
      <c r="S39" s="854"/>
      <c r="T39" s="854"/>
      <c r="U39" s="854"/>
      <c r="V39" s="854"/>
      <c r="W39" s="854"/>
      <c r="X39" s="854"/>
      <c r="Y39" s="854"/>
      <c r="Z39" s="855"/>
    </row>
    <row r="40" spans="2:39" x14ac:dyDescent="0.25">
      <c r="B40" s="853"/>
      <c r="C40" s="854"/>
      <c r="D40" s="854"/>
      <c r="E40" s="854"/>
      <c r="F40" s="854"/>
      <c r="G40" s="854"/>
      <c r="H40" s="854"/>
      <c r="I40" s="854"/>
      <c r="J40" s="854"/>
      <c r="K40" s="854"/>
      <c r="L40" s="854"/>
      <c r="M40" s="854"/>
      <c r="N40" s="854"/>
      <c r="O40" s="854"/>
      <c r="P40" s="854"/>
      <c r="Q40" s="854"/>
      <c r="R40" s="854"/>
      <c r="S40" s="854"/>
      <c r="T40" s="854"/>
      <c r="U40" s="854"/>
      <c r="V40" s="854"/>
      <c r="W40" s="854"/>
      <c r="X40" s="854"/>
      <c r="Y40" s="854"/>
      <c r="Z40" s="855"/>
    </row>
    <row r="41" spans="2:39" x14ac:dyDescent="0.25">
      <c r="B41" s="856"/>
      <c r="C41" s="857"/>
      <c r="D41" s="857"/>
      <c r="E41" s="857"/>
      <c r="F41" s="857"/>
      <c r="G41" s="857"/>
      <c r="H41" s="857"/>
      <c r="I41" s="857"/>
      <c r="J41" s="857"/>
      <c r="K41" s="857"/>
      <c r="L41" s="857"/>
      <c r="M41" s="857"/>
      <c r="N41" s="857"/>
      <c r="O41" s="857"/>
      <c r="P41" s="857"/>
      <c r="Q41" s="857"/>
      <c r="R41" s="857"/>
      <c r="S41" s="857"/>
      <c r="T41" s="857"/>
      <c r="U41" s="857"/>
      <c r="V41" s="857"/>
      <c r="W41" s="857"/>
      <c r="X41" s="857"/>
      <c r="Y41" s="857"/>
      <c r="Z41" s="858"/>
    </row>
    <row r="42" spans="2:39" ht="14.4" x14ac:dyDescent="0.25">
      <c r="B42" s="835" t="s">
        <v>4230</v>
      </c>
      <c r="C42" s="835"/>
      <c r="D42" s="835"/>
      <c r="E42" s="835"/>
      <c r="F42" s="835"/>
      <c r="G42" s="835"/>
      <c r="H42" s="835"/>
      <c r="I42" s="835"/>
      <c r="J42" s="835"/>
      <c r="K42" s="835"/>
      <c r="L42" s="835"/>
      <c r="M42" s="835"/>
      <c r="N42" s="835"/>
      <c r="O42" s="835"/>
      <c r="P42" s="835"/>
      <c r="Q42" s="835"/>
      <c r="R42" s="835"/>
      <c r="S42" s="835"/>
      <c r="T42" s="835"/>
      <c r="U42" s="835"/>
      <c r="V42" s="835"/>
      <c r="W42" s="835"/>
      <c r="X42" s="835"/>
      <c r="Y42" s="835"/>
      <c r="Z42" s="835"/>
    </row>
    <row r="43" spans="2:39" x14ac:dyDescent="0.25">
      <c r="B43" s="834" t="s">
        <v>4417</v>
      </c>
      <c r="C43" s="834"/>
      <c r="D43" s="834"/>
      <c r="E43" s="834"/>
      <c r="F43" s="834"/>
      <c r="G43" s="834"/>
      <c r="H43" s="834"/>
      <c r="I43" s="834"/>
      <c r="J43" s="834"/>
      <c r="K43" s="834"/>
      <c r="L43" s="834"/>
      <c r="M43" s="834"/>
      <c r="N43" s="834"/>
      <c r="O43" s="834"/>
      <c r="P43" s="834"/>
      <c r="Q43" s="834"/>
      <c r="R43" s="834"/>
      <c r="S43" s="834"/>
      <c r="T43" s="834"/>
      <c r="U43" s="834"/>
      <c r="V43" s="834"/>
      <c r="W43" s="834"/>
      <c r="X43" s="834"/>
      <c r="Y43" s="834"/>
      <c r="Z43" s="834"/>
    </row>
    <row r="44" spans="2:39" x14ac:dyDescent="0.25">
      <c r="B44" s="834"/>
      <c r="C44" s="834"/>
      <c r="D44" s="834"/>
      <c r="E44" s="834"/>
      <c r="F44" s="834"/>
      <c r="G44" s="834"/>
      <c r="H44" s="834"/>
      <c r="I44" s="834"/>
      <c r="J44" s="834"/>
      <c r="K44" s="834"/>
      <c r="L44" s="834"/>
      <c r="M44" s="834"/>
      <c r="N44" s="834"/>
      <c r="O44" s="834"/>
      <c r="P44" s="834"/>
      <c r="Q44" s="834"/>
      <c r="R44" s="834"/>
      <c r="S44" s="834"/>
      <c r="T44" s="834"/>
      <c r="U44" s="834"/>
      <c r="V44" s="834"/>
      <c r="W44" s="834"/>
      <c r="X44" s="834"/>
      <c r="Y44" s="834"/>
      <c r="Z44" s="834"/>
    </row>
    <row r="45" spans="2:39" x14ac:dyDescent="0.25">
      <c r="B45" s="834"/>
      <c r="C45" s="834"/>
      <c r="D45" s="834"/>
      <c r="E45" s="834"/>
      <c r="F45" s="834"/>
      <c r="G45" s="834"/>
      <c r="H45" s="834"/>
      <c r="I45" s="834"/>
      <c r="J45" s="834"/>
      <c r="K45" s="834"/>
      <c r="L45" s="834"/>
      <c r="M45" s="834"/>
      <c r="N45" s="834"/>
      <c r="O45" s="834"/>
      <c r="P45" s="834"/>
      <c r="Q45" s="834"/>
      <c r="R45" s="834"/>
      <c r="S45" s="834"/>
      <c r="T45" s="834"/>
      <c r="U45" s="834"/>
      <c r="V45" s="834"/>
      <c r="W45" s="834"/>
      <c r="X45" s="834"/>
      <c r="Y45" s="834"/>
      <c r="Z45" s="834"/>
    </row>
    <row r="46" spans="2:39" x14ac:dyDescent="0.25">
      <c r="B46" s="834"/>
      <c r="C46" s="834"/>
      <c r="D46" s="834"/>
      <c r="E46" s="834"/>
      <c r="F46" s="834"/>
      <c r="G46" s="834"/>
      <c r="H46" s="834"/>
      <c r="I46" s="834"/>
      <c r="J46" s="834"/>
      <c r="K46" s="834"/>
      <c r="L46" s="834"/>
      <c r="M46" s="834"/>
      <c r="N46" s="834"/>
      <c r="O46" s="834"/>
      <c r="P46" s="834"/>
      <c r="Q46" s="834"/>
      <c r="R46" s="834"/>
      <c r="S46" s="834"/>
      <c r="T46" s="834"/>
      <c r="U46" s="834"/>
      <c r="V46" s="834"/>
      <c r="W46" s="834"/>
      <c r="X46" s="834"/>
      <c r="Y46" s="834"/>
      <c r="Z46" s="834"/>
    </row>
    <row r="47" spans="2:39" x14ac:dyDescent="0.25">
      <c r="B47" s="834"/>
      <c r="C47" s="834"/>
      <c r="D47" s="834"/>
      <c r="E47" s="834"/>
      <c r="F47" s="834"/>
      <c r="G47" s="834"/>
      <c r="H47" s="834"/>
      <c r="I47" s="834"/>
      <c r="J47" s="834"/>
      <c r="K47" s="834"/>
      <c r="L47" s="834"/>
      <c r="M47" s="834"/>
      <c r="N47" s="834"/>
      <c r="O47" s="834"/>
      <c r="P47" s="834"/>
      <c r="Q47" s="834"/>
      <c r="R47" s="834"/>
      <c r="S47" s="834"/>
      <c r="T47" s="834"/>
      <c r="U47" s="834"/>
      <c r="V47" s="834"/>
      <c r="W47" s="834"/>
      <c r="X47" s="834"/>
      <c r="Y47" s="834"/>
      <c r="Z47" s="834"/>
    </row>
    <row r="48" spans="2:39" x14ac:dyDescent="0.25">
      <c r="B48" s="834"/>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row>
    <row r="49" spans="2:26" x14ac:dyDescent="0.25">
      <c r="B49" s="834"/>
      <c r="C49" s="834"/>
      <c r="D49" s="834"/>
      <c r="E49" s="834"/>
      <c r="F49" s="834"/>
      <c r="G49" s="834"/>
      <c r="H49" s="834"/>
      <c r="I49" s="834"/>
      <c r="J49" s="834"/>
      <c r="K49" s="834"/>
      <c r="L49" s="834"/>
      <c r="M49" s="834"/>
      <c r="N49" s="834"/>
      <c r="O49" s="834"/>
      <c r="P49" s="834"/>
      <c r="Q49" s="834"/>
      <c r="R49" s="834"/>
      <c r="S49" s="834"/>
      <c r="T49" s="834"/>
      <c r="U49" s="834"/>
      <c r="V49" s="834"/>
      <c r="W49" s="834"/>
      <c r="X49" s="834"/>
      <c r="Y49" s="834"/>
      <c r="Z49" s="834"/>
    </row>
    <row r="50" spans="2:26" x14ac:dyDescent="0.25">
      <c r="B50" s="834"/>
      <c r="C50" s="834"/>
      <c r="D50" s="834"/>
      <c r="E50" s="834"/>
      <c r="F50" s="834"/>
      <c r="G50" s="834"/>
      <c r="H50" s="834"/>
      <c r="I50" s="834"/>
      <c r="J50" s="834"/>
      <c r="K50" s="834"/>
      <c r="L50" s="834"/>
      <c r="M50" s="834"/>
      <c r="N50" s="834"/>
      <c r="O50" s="834"/>
      <c r="P50" s="834"/>
      <c r="Q50" s="834"/>
      <c r="R50" s="834"/>
      <c r="S50" s="834"/>
      <c r="T50" s="834"/>
      <c r="U50" s="834"/>
      <c r="V50" s="834"/>
      <c r="W50" s="834"/>
      <c r="X50" s="834"/>
      <c r="Y50" s="834"/>
      <c r="Z50" s="834"/>
    </row>
    <row r="51" spans="2:26" x14ac:dyDescent="0.25">
      <c r="B51" s="834"/>
      <c r="C51" s="834"/>
      <c r="D51" s="834"/>
      <c r="E51" s="834"/>
      <c r="F51" s="834"/>
      <c r="G51" s="834"/>
      <c r="H51" s="834"/>
      <c r="I51" s="834"/>
      <c r="J51" s="834"/>
      <c r="K51" s="834"/>
      <c r="L51" s="834"/>
      <c r="M51" s="834"/>
      <c r="N51" s="834"/>
      <c r="O51" s="834"/>
      <c r="P51" s="834"/>
      <c r="Q51" s="834"/>
      <c r="R51" s="834"/>
      <c r="S51" s="834"/>
      <c r="T51" s="834"/>
      <c r="U51" s="834"/>
      <c r="V51" s="834"/>
      <c r="W51" s="834"/>
      <c r="X51" s="834"/>
      <c r="Y51" s="834"/>
      <c r="Z51" s="834"/>
    </row>
    <row r="52" spans="2:26" x14ac:dyDescent="0.25">
      <c r="B52" s="834"/>
      <c r="C52" s="834"/>
      <c r="D52" s="834"/>
      <c r="E52" s="834"/>
      <c r="F52" s="834"/>
      <c r="G52" s="834"/>
      <c r="H52" s="834"/>
      <c r="I52" s="834"/>
      <c r="J52" s="834"/>
      <c r="K52" s="834"/>
      <c r="L52" s="834"/>
      <c r="M52" s="834"/>
      <c r="N52" s="834"/>
      <c r="O52" s="834"/>
      <c r="P52" s="834"/>
      <c r="Q52" s="834"/>
      <c r="R52" s="834"/>
      <c r="S52" s="834"/>
      <c r="T52" s="834"/>
      <c r="U52" s="834"/>
      <c r="V52" s="834"/>
      <c r="W52" s="834"/>
      <c r="X52" s="834"/>
      <c r="Y52" s="834"/>
      <c r="Z52" s="834"/>
    </row>
    <row r="53" spans="2:26" x14ac:dyDescent="0.25">
      <c r="B53" s="834"/>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row>
    <row r="54" spans="2:26" x14ac:dyDescent="0.25">
      <c r="B54" s="834"/>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row>
    <row r="55" spans="2:26" x14ac:dyDescent="0.25">
      <c r="B55" s="834"/>
      <c r="C55" s="834"/>
      <c r="D55" s="834"/>
      <c r="E55" s="834"/>
      <c r="F55" s="834"/>
      <c r="G55" s="834"/>
      <c r="H55" s="834"/>
      <c r="I55" s="834"/>
      <c r="J55" s="834"/>
      <c r="K55" s="834"/>
      <c r="L55" s="834"/>
      <c r="M55" s="834"/>
      <c r="N55" s="834"/>
      <c r="O55" s="834"/>
      <c r="P55" s="834"/>
      <c r="Q55" s="834"/>
      <c r="R55" s="834"/>
      <c r="S55" s="834"/>
      <c r="T55" s="834"/>
      <c r="U55" s="834"/>
      <c r="V55" s="834"/>
      <c r="W55" s="834"/>
      <c r="X55" s="834"/>
      <c r="Y55" s="834"/>
      <c r="Z55" s="834"/>
    </row>
    <row r="56" spans="2:26" x14ac:dyDescent="0.25">
      <c r="B56" s="834"/>
      <c r="C56" s="834"/>
      <c r="D56" s="834"/>
      <c r="E56" s="834"/>
      <c r="F56" s="834"/>
      <c r="G56" s="834"/>
      <c r="H56" s="834"/>
      <c r="I56" s="834"/>
      <c r="J56" s="834"/>
      <c r="K56" s="834"/>
      <c r="L56" s="834"/>
      <c r="M56" s="834"/>
      <c r="N56" s="834"/>
      <c r="O56" s="834"/>
      <c r="P56" s="834"/>
      <c r="Q56" s="834"/>
      <c r="R56" s="834"/>
      <c r="S56" s="834"/>
      <c r="T56" s="834"/>
      <c r="U56" s="834"/>
      <c r="V56" s="834"/>
      <c r="W56" s="834"/>
      <c r="X56" s="834"/>
      <c r="Y56" s="834"/>
      <c r="Z56" s="834"/>
    </row>
    <row r="57" spans="2:26" x14ac:dyDescent="0.25">
      <c r="B57" s="834"/>
      <c r="C57" s="834"/>
      <c r="D57" s="834"/>
      <c r="E57" s="834"/>
      <c r="F57" s="834"/>
      <c r="G57" s="834"/>
      <c r="H57" s="834"/>
      <c r="I57" s="834"/>
      <c r="J57" s="834"/>
      <c r="K57" s="834"/>
      <c r="L57" s="834"/>
      <c r="M57" s="834"/>
      <c r="N57" s="834"/>
      <c r="O57" s="834"/>
      <c r="P57" s="834"/>
      <c r="Q57" s="834"/>
      <c r="R57" s="834"/>
      <c r="S57" s="834"/>
      <c r="T57" s="834"/>
      <c r="U57" s="834"/>
      <c r="V57" s="834"/>
      <c r="W57" s="834"/>
      <c r="X57" s="834"/>
      <c r="Y57" s="834"/>
      <c r="Z57" s="834"/>
    </row>
    <row r="58" spans="2:26" x14ac:dyDescent="0.25">
      <c r="B58" s="834"/>
      <c r="C58" s="834"/>
      <c r="D58" s="834"/>
      <c r="E58" s="834"/>
      <c r="F58" s="834"/>
      <c r="G58" s="834"/>
      <c r="H58" s="834"/>
      <c r="I58" s="834"/>
      <c r="J58" s="834"/>
      <c r="K58" s="834"/>
      <c r="L58" s="834"/>
      <c r="M58" s="834"/>
      <c r="N58" s="834"/>
      <c r="O58" s="834"/>
      <c r="P58" s="834"/>
      <c r="Q58" s="834"/>
      <c r="R58" s="834"/>
      <c r="S58" s="834"/>
      <c r="T58" s="834"/>
      <c r="U58" s="834"/>
      <c r="V58" s="834"/>
      <c r="W58" s="834"/>
      <c r="X58" s="834"/>
      <c r="Y58" s="834"/>
      <c r="Z58" s="834"/>
    </row>
    <row r="59" spans="2:26" x14ac:dyDescent="0.25">
      <c r="B59" s="834"/>
      <c r="C59" s="834"/>
      <c r="D59" s="834"/>
      <c r="E59" s="834"/>
      <c r="F59" s="834"/>
      <c r="G59" s="834"/>
      <c r="H59" s="834"/>
      <c r="I59" s="834"/>
      <c r="J59" s="834"/>
      <c r="K59" s="834"/>
      <c r="L59" s="834"/>
      <c r="M59" s="834"/>
      <c r="N59" s="834"/>
      <c r="O59" s="834"/>
      <c r="P59" s="834"/>
      <c r="Q59" s="834"/>
      <c r="R59" s="834"/>
      <c r="S59" s="834"/>
      <c r="T59" s="834"/>
      <c r="U59" s="834"/>
      <c r="V59" s="834"/>
      <c r="W59" s="834"/>
      <c r="X59" s="834"/>
      <c r="Y59" s="834"/>
      <c r="Z59" s="834"/>
    </row>
    <row r="60" spans="2:26" x14ac:dyDescent="0.25">
      <c r="B60" s="834"/>
      <c r="C60" s="834"/>
      <c r="D60" s="834"/>
      <c r="E60" s="834"/>
      <c r="F60" s="834"/>
      <c r="G60" s="834"/>
      <c r="H60" s="834"/>
      <c r="I60" s="834"/>
      <c r="J60" s="834"/>
      <c r="K60" s="834"/>
      <c r="L60" s="834"/>
      <c r="M60" s="834"/>
      <c r="N60" s="834"/>
      <c r="O60" s="834"/>
      <c r="P60" s="834"/>
      <c r="Q60" s="834"/>
      <c r="R60" s="834"/>
      <c r="S60" s="834"/>
      <c r="T60" s="834"/>
      <c r="U60" s="834"/>
      <c r="V60" s="834"/>
      <c r="W60" s="834"/>
      <c r="X60" s="834"/>
      <c r="Y60" s="834"/>
      <c r="Z60" s="834"/>
    </row>
    <row r="61" spans="2:26" x14ac:dyDescent="0.25">
      <c r="B61" s="834"/>
      <c r="C61" s="834"/>
      <c r="D61" s="834"/>
      <c r="E61" s="834"/>
      <c r="F61" s="834"/>
      <c r="G61" s="834"/>
      <c r="H61" s="834"/>
      <c r="I61" s="834"/>
      <c r="J61" s="834"/>
      <c r="K61" s="834"/>
      <c r="L61" s="834"/>
      <c r="M61" s="834"/>
      <c r="N61" s="834"/>
      <c r="O61" s="834"/>
      <c r="P61" s="834"/>
      <c r="Q61" s="834"/>
      <c r="R61" s="834"/>
      <c r="S61" s="834"/>
      <c r="T61" s="834"/>
      <c r="U61" s="834"/>
      <c r="V61" s="834"/>
      <c r="W61" s="834"/>
      <c r="X61" s="834"/>
      <c r="Y61" s="834"/>
      <c r="Z61" s="834"/>
    </row>
    <row r="62" spans="2:26" x14ac:dyDescent="0.25">
      <c r="B62" s="834"/>
      <c r="C62" s="834"/>
      <c r="D62" s="834"/>
      <c r="E62" s="834"/>
      <c r="F62" s="834"/>
      <c r="G62" s="834"/>
      <c r="H62" s="834"/>
      <c r="I62" s="834"/>
      <c r="J62" s="834"/>
      <c r="K62" s="834"/>
      <c r="L62" s="834"/>
      <c r="M62" s="834"/>
      <c r="N62" s="834"/>
      <c r="O62" s="834"/>
      <c r="P62" s="834"/>
      <c r="Q62" s="834"/>
      <c r="R62" s="834"/>
      <c r="S62" s="834"/>
      <c r="T62" s="834"/>
      <c r="U62" s="834"/>
      <c r="V62" s="834"/>
      <c r="W62" s="834"/>
      <c r="X62" s="834"/>
      <c r="Y62" s="834"/>
      <c r="Z62" s="834"/>
    </row>
    <row r="63" spans="2:26" x14ac:dyDescent="0.25">
      <c r="B63" s="834"/>
      <c r="C63" s="834"/>
      <c r="D63" s="834"/>
      <c r="E63" s="834"/>
      <c r="F63" s="834"/>
      <c r="G63" s="834"/>
      <c r="H63" s="834"/>
      <c r="I63" s="834"/>
      <c r="J63" s="834"/>
      <c r="K63" s="834"/>
      <c r="L63" s="834"/>
      <c r="M63" s="834"/>
      <c r="N63" s="834"/>
      <c r="O63" s="834"/>
      <c r="P63" s="834"/>
      <c r="Q63" s="834"/>
      <c r="R63" s="834"/>
      <c r="S63" s="834"/>
      <c r="T63" s="834"/>
      <c r="U63" s="834"/>
      <c r="V63" s="834"/>
      <c r="W63" s="834"/>
      <c r="X63" s="834"/>
      <c r="Y63" s="834"/>
      <c r="Z63" s="834"/>
    </row>
    <row r="64" spans="2:26" x14ac:dyDescent="0.25">
      <c r="B64" s="834"/>
      <c r="C64" s="834"/>
      <c r="D64" s="834"/>
      <c r="E64" s="834"/>
      <c r="F64" s="834"/>
      <c r="G64" s="834"/>
      <c r="H64" s="834"/>
      <c r="I64" s="834"/>
      <c r="J64" s="834"/>
      <c r="K64" s="834"/>
      <c r="L64" s="834"/>
      <c r="M64" s="834"/>
      <c r="N64" s="834"/>
      <c r="O64" s="834"/>
      <c r="P64" s="834"/>
      <c r="Q64" s="834"/>
      <c r="R64" s="834"/>
      <c r="S64" s="834"/>
      <c r="T64" s="834"/>
      <c r="U64" s="834"/>
      <c r="V64" s="834"/>
      <c r="W64" s="834"/>
      <c r="X64" s="834"/>
      <c r="Y64" s="834"/>
      <c r="Z64" s="834"/>
    </row>
    <row r="65" spans="2:26" x14ac:dyDescent="0.25">
      <c r="B65" s="834"/>
      <c r="C65" s="834"/>
      <c r="D65" s="834"/>
      <c r="E65" s="834"/>
      <c r="F65" s="834"/>
      <c r="G65" s="834"/>
      <c r="H65" s="834"/>
      <c r="I65" s="834"/>
      <c r="J65" s="834"/>
      <c r="K65" s="834"/>
      <c r="L65" s="834"/>
      <c r="M65" s="834"/>
      <c r="N65" s="834"/>
      <c r="O65" s="834"/>
      <c r="P65" s="834"/>
      <c r="Q65" s="834"/>
      <c r="R65" s="834"/>
      <c r="S65" s="834"/>
      <c r="T65" s="834"/>
      <c r="U65" s="834"/>
      <c r="V65" s="834"/>
      <c r="W65" s="834"/>
      <c r="X65" s="834"/>
      <c r="Y65" s="834"/>
      <c r="Z65" s="834"/>
    </row>
    <row r="66" spans="2:26" x14ac:dyDescent="0.25">
      <c r="B66" s="834"/>
      <c r="C66" s="834"/>
      <c r="D66" s="834"/>
      <c r="E66" s="834"/>
      <c r="F66" s="834"/>
      <c r="G66" s="834"/>
      <c r="H66" s="834"/>
      <c r="I66" s="834"/>
      <c r="J66" s="834"/>
      <c r="K66" s="834"/>
      <c r="L66" s="834"/>
      <c r="M66" s="834"/>
      <c r="N66" s="834"/>
      <c r="O66" s="834"/>
      <c r="P66" s="834"/>
      <c r="Q66" s="834"/>
      <c r="R66" s="834"/>
      <c r="S66" s="834"/>
      <c r="T66" s="834"/>
      <c r="U66" s="834"/>
      <c r="V66" s="834"/>
      <c r="W66" s="834"/>
      <c r="X66" s="834"/>
      <c r="Y66" s="834"/>
      <c r="Z66" s="834"/>
    </row>
    <row r="67" spans="2:26" x14ac:dyDescent="0.25">
      <c r="B67" s="834"/>
      <c r="C67" s="834"/>
      <c r="D67" s="834"/>
      <c r="E67" s="834"/>
      <c r="F67" s="834"/>
      <c r="G67" s="834"/>
      <c r="H67" s="834"/>
      <c r="I67" s="834"/>
      <c r="J67" s="834"/>
      <c r="K67" s="834"/>
      <c r="L67" s="834"/>
      <c r="M67" s="834"/>
      <c r="N67" s="834"/>
      <c r="O67" s="834"/>
      <c r="P67" s="834"/>
      <c r="Q67" s="834"/>
      <c r="R67" s="834"/>
      <c r="S67" s="834"/>
      <c r="T67" s="834"/>
      <c r="U67" s="834"/>
      <c r="V67" s="834"/>
      <c r="W67" s="834"/>
      <c r="X67" s="834"/>
      <c r="Y67" s="834"/>
      <c r="Z67" s="834"/>
    </row>
    <row r="68" spans="2:26" x14ac:dyDescent="0.25">
      <c r="B68" s="834"/>
      <c r="C68" s="834"/>
      <c r="D68" s="834"/>
      <c r="E68" s="834"/>
      <c r="F68" s="834"/>
      <c r="G68" s="834"/>
      <c r="H68" s="834"/>
      <c r="I68" s="834"/>
      <c r="J68" s="834"/>
      <c r="K68" s="834"/>
      <c r="L68" s="834"/>
      <c r="M68" s="834"/>
      <c r="N68" s="834"/>
      <c r="O68" s="834"/>
      <c r="P68" s="834"/>
      <c r="Q68" s="834"/>
      <c r="R68" s="834"/>
      <c r="S68" s="834"/>
      <c r="T68" s="834"/>
      <c r="U68" s="834"/>
      <c r="V68" s="834"/>
      <c r="W68" s="834"/>
      <c r="X68" s="834"/>
      <c r="Y68" s="834"/>
      <c r="Z68" s="834"/>
    </row>
    <row r="69" spans="2:26" x14ac:dyDescent="0.25">
      <c r="B69" s="834"/>
      <c r="C69" s="834"/>
      <c r="D69" s="834"/>
      <c r="E69" s="834"/>
      <c r="F69" s="834"/>
      <c r="G69" s="834"/>
      <c r="H69" s="834"/>
      <c r="I69" s="834"/>
      <c r="J69" s="834"/>
      <c r="K69" s="834"/>
      <c r="L69" s="834"/>
      <c r="M69" s="834"/>
      <c r="N69" s="834"/>
      <c r="O69" s="834"/>
      <c r="P69" s="834"/>
      <c r="Q69" s="834"/>
      <c r="R69" s="834"/>
      <c r="S69" s="834"/>
      <c r="T69" s="834"/>
      <c r="U69" s="834"/>
      <c r="V69" s="834"/>
      <c r="W69" s="834"/>
      <c r="X69" s="834"/>
      <c r="Y69" s="834"/>
      <c r="Z69" s="834"/>
    </row>
    <row r="70" spans="2:26" x14ac:dyDescent="0.25">
      <c r="B70" s="834"/>
      <c r="C70" s="834"/>
      <c r="D70" s="834"/>
      <c r="E70" s="834"/>
      <c r="F70" s="834"/>
      <c r="G70" s="834"/>
      <c r="H70" s="834"/>
      <c r="I70" s="834"/>
      <c r="J70" s="834"/>
      <c r="K70" s="834"/>
      <c r="L70" s="834"/>
      <c r="M70" s="834"/>
      <c r="N70" s="834"/>
      <c r="O70" s="834"/>
      <c r="P70" s="834"/>
      <c r="Q70" s="834"/>
      <c r="R70" s="834"/>
      <c r="S70" s="834"/>
      <c r="T70" s="834"/>
      <c r="U70" s="834"/>
      <c r="V70" s="834"/>
      <c r="W70" s="834"/>
      <c r="X70" s="834"/>
      <c r="Y70" s="834"/>
      <c r="Z70" s="834"/>
    </row>
    <row r="71" spans="2:26" x14ac:dyDescent="0.25">
      <c r="B71" s="834"/>
      <c r="C71" s="834"/>
      <c r="D71" s="834"/>
      <c r="E71" s="834"/>
      <c r="F71" s="834"/>
      <c r="G71" s="834"/>
      <c r="H71" s="834"/>
      <c r="I71" s="834"/>
      <c r="J71" s="834"/>
      <c r="K71" s="834"/>
      <c r="L71" s="834"/>
      <c r="M71" s="834"/>
      <c r="N71" s="834"/>
      <c r="O71" s="834"/>
      <c r="P71" s="834"/>
      <c r="Q71" s="834"/>
      <c r="R71" s="834"/>
      <c r="S71" s="834"/>
      <c r="T71" s="834"/>
      <c r="U71" s="834"/>
      <c r="V71" s="834"/>
      <c r="W71" s="834"/>
      <c r="X71" s="834"/>
      <c r="Y71" s="834"/>
      <c r="Z71" s="834"/>
    </row>
    <row r="72" spans="2:26" x14ac:dyDescent="0.25">
      <c r="B72" s="834"/>
      <c r="C72" s="834"/>
      <c r="D72" s="834"/>
      <c r="E72" s="834"/>
      <c r="F72" s="834"/>
      <c r="G72" s="834"/>
      <c r="H72" s="834"/>
      <c r="I72" s="834"/>
      <c r="J72" s="834"/>
      <c r="K72" s="834"/>
      <c r="L72" s="834"/>
      <c r="M72" s="834"/>
      <c r="N72" s="834"/>
      <c r="O72" s="834"/>
      <c r="P72" s="834"/>
      <c r="Q72" s="834"/>
      <c r="R72" s="834"/>
      <c r="S72" s="834"/>
      <c r="T72" s="834"/>
      <c r="U72" s="834"/>
      <c r="V72" s="834"/>
      <c r="W72" s="834"/>
      <c r="X72" s="834"/>
      <c r="Y72" s="834"/>
      <c r="Z72" s="834"/>
    </row>
    <row r="73" spans="2:26" x14ac:dyDescent="0.25">
      <c r="B73" s="834"/>
      <c r="C73" s="834"/>
      <c r="D73" s="834"/>
      <c r="E73" s="834"/>
      <c r="F73" s="834"/>
      <c r="G73" s="834"/>
      <c r="H73" s="834"/>
      <c r="I73" s="834"/>
      <c r="J73" s="834"/>
      <c r="K73" s="834"/>
      <c r="L73" s="834"/>
      <c r="M73" s="834"/>
      <c r="N73" s="834"/>
      <c r="O73" s="834"/>
      <c r="P73" s="834"/>
      <c r="Q73" s="834"/>
      <c r="R73" s="834"/>
      <c r="S73" s="834"/>
      <c r="T73" s="834"/>
      <c r="U73" s="834"/>
      <c r="V73" s="834"/>
      <c r="W73" s="834"/>
      <c r="X73" s="834"/>
      <c r="Y73" s="834"/>
      <c r="Z73" s="834"/>
    </row>
    <row r="74" spans="2:26" x14ac:dyDescent="0.25">
      <c r="B74" s="834"/>
      <c r="C74" s="834"/>
      <c r="D74" s="834"/>
      <c r="E74" s="834"/>
      <c r="F74" s="834"/>
      <c r="G74" s="834"/>
      <c r="H74" s="834"/>
      <c r="I74" s="834"/>
      <c r="J74" s="834"/>
      <c r="K74" s="834"/>
      <c r="L74" s="834"/>
      <c r="M74" s="834"/>
      <c r="N74" s="834"/>
      <c r="O74" s="834"/>
      <c r="P74" s="834"/>
      <c r="Q74" s="834"/>
      <c r="R74" s="834"/>
      <c r="S74" s="834"/>
      <c r="T74" s="834"/>
      <c r="U74" s="834"/>
      <c r="V74" s="834"/>
      <c r="W74" s="834"/>
      <c r="X74" s="834"/>
      <c r="Y74" s="834"/>
      <c r="Z74" s="834"/>
    </row>
    <row r="75" spans="2:26" x14ac:dyDescent="0.25">
      <c r="B75" s="834"/>
      <c r="C75" s="834"/>
      <c r="D75" s="834"/>
      <c r="E75" s="834"/>
      <c r="F75" s="834"/>
      <c r="G75" s="834"/>
      <c r="H75" s="834"/>
      <c r="I75" s="834"/>
      <c r="J75" s="834"/>
      <c r="K75" s="834"/>
      <c r="L75" s="834"/>
      <c r="M75" s="834"/>
      <c r="N75" s="834"/>
      <c r="O75" s="834"/>
      <c r="P75" s="834"/>
      <c r="Q75" s="834"/>
      <c r="R75" s="834"/>
      <c r="S75" s="834"/>
      <c r="T75" s="834"/>
      <c r="U75" s="834"/>
      <c r="V75" s="834"/>
      <c r="W75" s="834"/>
      <c r="X75" s="834"/>
      <c r="Y75" s="834"/>
      <c r="Z75" s="834"/>
    </row>
    <row r="76" spans="2:26" x14ac:dyDescent="0.25">
      <c r="B76" s="834"/>
      <c r="C76" s="834"/>
      <c r="D76" s="834"/>
      <c r="E76" s="834"/>
      <c r="F76" s="834"/>
      <c r="G76" s="834"/>
      <c r="H76" s="834"/>
      <c r="I76" s="834"/>
      <c r="J76" s="834"/>
      <c r="K76" s="834"/>
      <c r="L76" s="834"/>
      <c r="M76" s="834"/>
      <c r="N76" s="834"/>
      <c r="O76" s="834"/>
      <c r="P76" s="834"/>
      <c r="Q76" s="834"/>
      <c r="R76" s="834"/>
      <c r="S76" s="834"/>
      <c r="T76" s="834"/>
      <c r="U76" s="834"/>
      <c r="V76" s="834"/>
      <c r="W76" s="834"/>
      <c r="X76" s="834"/>
      <c r="Y76" s="834"/>
      <c r="Z76" s="834"/>
    </row>
    <row r="77" spans="2:26" x14ac:dyDescent="0.25">
      <c r="B77" s="834"/>
      <c r="C77" s="834"/>
      <c r="D77" s="834"/>
      <c r="E77" s="834"/>
      <c r="F77" s="834"/>
      <c r="G77" s="834"/>
      <c r="H77" s="834"/>
      <c r="I77" s="834"/>
      <c r="J77" s="834"/>
      <c r="K77" s="834"/>
      <c r="L77" s="834"/>
      <c r="M77" s="834"/>
      <c r="N77" s="834"/>
      <c r="O77" s="834"/>
      <c r="P77" s="834"/>
      <c r="Q77" s="834"/>
      <c r="R77" s="834"/>
      <c r="S77" s="834"/>
      <c r="T77" s="834"/>
      <c r="U77" s="834"/>
      <c r="V77" s="834"/>
      <c r="W77" s="834"/>
      <c r="X77" s="834"/>
      <c r="Y77" s="834"/>
      <c r="Z77" s="834"/>
    </row>
    <row r="78" spans="2:26" x14ac:dyDescent="0.25">
      <c r="B78" s="834"/>
      <c r="C78" s="834"/>
      <c r="D78" s="834"/>
      <c r="E78" s="834"/>
      <c r="F78" s="834"/>
      <c r="G78" s="834"/>
      <c r="H78" s="834"/>
      <c r="I78" s="834"/>
      <c r="J78" s="834"/>
      <c r="K78" s="834"/>
      <c r="L78" s="834"/>
      <c r="M78" s="834"/>
      <c r="N78" s="834"/>
      <c r="O78" s="834"/>
      <c r="P78" s="834"/>
      <c r="Q78" s="834"/>
      <c r="R78" s="834"/>
      <c r="S78" s="834"/>
      <c r="T78" s="834"/>
      <c r="U78" s="834"/>
      <c r="V78" s="834"/>
      <c r="W78" s="834"/>
      <c r="X78" s="834"/>
      <c r="Y78" s="834"/>
      <c r="Z78" s="834"/>
    </row>
    <row r="79" spans="2:26" x14ac:dyDescent="0.25">
      <c r="B79" s="834"/>
      <c r="C79" s="834"/>
      <c r="D79" s="834"/>
      <c r="E79" s="834"/>
      <c r="F79" s="834"/>
      <c r="G79" s="834"/>
      <c r="H79" s="834"/>
      <c r="I79" s="834"/>
      <c r="J79" s="834"/>
      <c r="K79" s="834"/>
      <c r="L79" s="834"/>
      <c r="M79" s="834"/>
      <c r="N79" s="834"/>
      <c r="O79" s="834"/>
      <c r="P79" s="834"/>
      <c r="Q79" s="834"/>
      <c r="R79" s="834"/>
      <c r="S79" s="834"/>
      <c r="T79" s="834"/>
      <c r="U79" s="834"/>
      <c r="V79" s="834"/>
      <c r="W79" s="834"/>
      <c r="X79" s="834"/>
      <c r="Y79" s="834"/>
      <c r="Z79" s="834"/>
    </row>
    <row r="80" spans="2:26" x14ac:dyDescent="0.25">
      <c r="B80" s="834"/>
      <c r="C80" s="834"/>
      <c r="D80" s="834"/>
      <c r="E80" s="834"/>
      <c r="F80" s="834"/>
      <c r="G80" s="834"/>
      <c r="H80" s="834"/>
      <c r="I80" s="834"/>
      <c r="J80" s="834"/>
      <c r="K80" s="834"/>
      <c r="L80" s="834"/>
      <c r="M80" s="834"/>
      <c r="N80" s="834"/>
      <c r="O80" s="834"/>
      <c r="P80" s="834"/>
      <c r="Q80" s="834"/>
      <c r="R80" s="834"/>
      <c r="S80" s="834"/>
      <c r="T80" s="834"/>
      <c r="U80" s="834"/>
      <c r="V80" s="834"/>
      <c r="W80" s="834"/>
      <c r="X80" s="834"/>
      <c r="Y80" s="834"/>
      <c r="Z80" s="834"/>
    </row>
    <row r="81" spans="2:26" x14ac:dyDescent="0.25">
      <c r="B81" s="834"/>
      <c r="C81" s="834"/>
      <c r="D81" s="834"/>
      <c r="E81" s="834"/>
      <c r="F81" s="834"/>
      <c r="G81" s="834"/>
      <c r="H81" s="834"/>
      <c r="I81" s="834"/>
      <c r="J81" s="834"/>
      <c r="K81" s="834"/>
      <c r="L81" s="834"/>
      <c r="M81" s="834"/>
      <c r="N81" s="834"/>
      <c r="O81" s="834"/>
      <c r="P81" s="834"/>
      <c r="Q81" s="834"/>
      <c r="R81" s="834"/>
      <c r="S81" s="834"/>
      <c r="T81" s="834"/>
      <c r="U81" s="834"/>
      <c r="V81" s="834"/>
      <c r="W81" s="834"/>
      <c r="X81" s="834"/>
      <c r="Y81" s="834"/>
      <c r="Z81" s="834"/>
    </row>
    <row r="82" spans="2:26" x14ac:dyDescent="0.25">
      <c r="B82" s="834"/>
      <c r="C82" s="834"/>
      <c r="D82" s="834"/>
      <c r="E82" s="834"/>
      <c r="F82" s="834"/>
      <c r="G82" s="834"/>
      <c r="H82" s="834"/>
      <c r="I82" s="834"/>
      <c r="J82" s="834"/>
      <c r="K82" s="834"/>
      <c r="L82" s="834"/>
      <c r="M82" s="834"/>
      <c r="N82" s="834"/>
      <c r="O82" s="834"/>
      <c r="P82" s="834"/>
      <c r="Q82" s="834"/>
      <c r="R82" s="834"/>
      <c r="S82" s="834"/>
      <c r="T82" s="834"/>
      <c r="U82" s="834"/>
      <c r="V82" s="834"/>
      <c r="W82" s="834"/>
      <c r="X82" s="834"/>
      <c r="Y82" s="834"/>
      <c r="Z82" s="834"/>
    </row>
    <row r="83" spans="2:26" x14ac:dyDescent="0.25">
      <c r="B83" s="834"/>
      <c r="C83" s="834"/>
      <c r="D83" s="834"/>
      <c r="E83" s="834"/>
      <c r="F83" s="834"/>
      <c r="G83" s="834"/>
      <c r="H83" s="834"/>
      <c r="I83" s="834"/>
      <c r="J83" s="834"/>
      <c r="K83" s="834"/>
      <c r="L83" s="834"/>
      <c r="M83" s="834"/>
      <c r="N83" s="834"/>
      <c r="O83" s="834"/>
      <c r="P83" s="834"/>
      <c r="Q83" s="834"/>
      <c r="R83" s="834"/>
      <c r="S83" s="834"/>
      <c r="T83" s="834"/>
      <c r="U83" s="834"/>
      <c r="V83" s="834"/>
      <c r="W83" s="834"/>
      <c r="X83" s="834"/>
      <c r="Y83" s="834"/>
      <c r="Z83" s="834"/>
    </row>
    <row r="84" spans="2:26" x14ac:dyDescent="0.25">
      <c r="B84" s="834"/>
      <c r="C84" s="834"/>
      <c r="D84" s="834"/>
      <c r="E84" s="834"/>
      <c r="F84" s="834"/>
      <c r="G84" s="834"/>
      <c r="H84" s="834"/>
      <c r="I84" s="834"/>
      <c r="J84" s="834"/>
      <c r="K84" s="834"/>
      <c r="L84" s="834"/>
      <c r="M84" s="834"/>
      <c r="N84" s="834"/>
      <c r="O84" s="834"/>
      <c r="P84" s="834"/>
      <c r="Q84" s="834"/>
      <c r="R84" s="834"/>
      <c r="S84" s="834"/>
      <c r="T84" s="834"/>
      <c r="U84" s="834"/>
      <c r="V84" s="834"/>
      <c r="W84" s="834"/>
      <c r="X84" s="834"/>
      <c r="Y84" s="834"/>
      <c r="Z84" s="834"/>
    </row>
    <row r="85" spans="2:26" x14ac:dyDescent="0.25">
      <c r="B85" s="834"/>
      <c r="C85" s="834"/>
      <c r="D85" s="834"/>
      <c r="E85" s="834"/>
      <c r="F85" s="834"/>
      <c r="G85" s="834"/>
      <c r="H85" s="834"/>
      <c r="I85" s="834"/>
      <c r="J85" s="834"/>
      <c r="K85" s="834"/>
      <c r="L85" s="834"/>
      <c r="M85" s="834"/>
      <c r="N85" s="834"/>
      <c r="O85" s="834"/>
      <c r="P85" s="834"/>
      <c r="Q85" s="834"/>
      <c r="R85" s="834"/>
      <c r="S85" s="834"/>
      <c r="T85" s="834"/>
      <c r="U85" s="834"/>
      <c r="V85" s="834"/>
      <c r="W85" s="834"/>
      <c r="X85" s="834"/>
      <c r="Y85" s="834"/>
      <c r="Z85" s="834"/>
    </row>
    <row r="86" spans="2:26" x14ac:dyDescent="0.25">
      <c r="B86" s="834"/>
      <c r="C86" s="834"/>
      <c r="D86" s="834"/>
      <c r="E86" s="834"/>
      <c r="F86" s="834"/>
      <c r="G86" s="834"/>
      <c r="H86" s="834"/>
      <c r="I86" s="834"/>
      <c r="J86" s="834"/>
      <c r="K86" s="834"/>
      <c r="L86" s="834"/>
      <c r="M86" s="834"/>
      <c r="N86" s="834"/>
      <c r="O86" s="834"/>
      <c r="P86" s="834"/>
      <c r="Q86" s="834"/>
      <c r="R86" s="834"/>
      <c r="S86" s="834"/>
      <c r="T86" s="834"/>
      <c r="U86" s="834"/>
      <c r="V86" s="834"/>
      <c r="W86" s="834"/>
      <c r="X86" s="834"/>
      <c r="Y86" s="834"/>
      <c r="Z86" s="834"/>
    </row>
    <row r="87" spans="2:26" x14ac:dyDescent="0.25">
      <c r="B87" s="834"/>
      <c r="C87" s="834"/>
      <c r="D87" s="834"/>
      <c r="E87" s="834"/>
      <c r="F87" s="834"/>
      <c r="G87" s="834"/>
      <c r="H87" s="834"/>
      <c r="I87" s="834"/>
      <c r="J87" s="834"/>
      <c r="K87" s="834"/>
      <c r="L87" s="834"/>
      <c r="M87" s="834"/>
      <c r="N87" s="834"/>
      <c r="O87" s="834"/>
      <c r="P87" s="834"/>
      <c r="Q87" s="834"/>
      <c r="R87" s="834"/>
      <c r="S87" s="834"/>
      <c r="T87" s="834"/>
      <c r="U87" s="834"/>
      <c r="V87" s="834"/>
      <c r="W87" s="834"/>
      <c r="X87" s="834"/>
      <c r="Y87" s="834"/>
      <c r="Z87" s="834"/>
    </row>
    <row r="88" spans="2:26" x14ac:dyDescent="0.25">
      <c r="B88" s="834"/>
      <c r="C88" s="834"/>
      <c r="D88" s="834"/>
      <c r="E88" s="834"/>
      <c r="F88" s="834"/>
      <c r="G88" s="834"/>
      <c r="H88" s="834"/>
      <c r="I88" s="834"/>
      <c r="J88" s="834"/>
      <c r="K88" s="834"/>
      <c r="L88" s="834"/>
      <c r="M88" s="834"/>
      <c r="N88" s="834"/>
      <c r="O88" s="834"/>
      <c r="P88" s="834"/>
      <c r="Q88" s="834"/>
      <c r="R88" s="834"/>
      <c r="S88" s="834"/>
      <c r="T88" s="834"/>
      <c r="U88" s="834"/>
      <c r="V88" s="834"/>
      <c r="W88" s="834"/>
      <c r="X88" s="834"/>
      <c r="Y88" s="834"/>
      <c r="Z88" s="834"/>
    </row>
    <row r="89" spans="2:26" x14ac:dyDescent="0.25">
      <c r="B89" s="834"/>
      <c r="C89" s="834"/>
      <c r="D89" s="834"/>
      <c r="E89" s="834"/>
      <c r="F89" s="834"/>
      <c r="G89" s="834"/>
      <c r="H89" s="834"/>
      <c r="I89" s="834"/>
      <c r="J89" s="834"/>
      <c r="K89" s="834"/>
      <c r="L89" s="834"/>
      <c r="M89" s="834"/>
      <c r="N89" s="834"/>
      <c r="O89" s="834"/>
      <c r="P89" s="834"/>
      <c r="Q89" s="834"/>
      <c r="R89" s="834"/>
      <c r="S89" s="834"/>
      <c r="T89" s="834"/>
      <c r="U89" s="834"/>
      <c r="V89" s="834"/>
      <c r="W89" s="834"/>
      <c r="X89" s="834"/>
      <c r="Y89" s="834"/>
      <c r="Z89" s="834"/>
    </row>
    <row r="90" spans="2:26" x14ac:dyDescent="0.25">
      <c r="B90" s="834"/>
      <c r="C90" s="834"/>
      <c r="D90" s="834"/>
      <c r="E90" s="834"/>
      <c r="F90" s="834"/>
      <c r="G90" s="834"/>
      <c r="H90" s="834"/>
      <c r="I90" s="834"/>
      <c r="J90" s="834"/>
      <c r="K90" s="834"/>
      <c r="L90" s="834"/>
      <c r="M90" s="834"/>
      <c r="N90" s="834"/>
      <c r="O90" s="834"/>
      <c r="P90" s="834"/>
      <c r="Q90" s="834"/>
      <c r="R90" s="834"/>
      <c r="S90" s="834"/>
      <c r="T90" s="834"/>
      <c r="U90" s="834"/>
      <c r="V90" s="834"/>
      <c r="W90" s="834"/>
      <c r="X90" s="834"/>
      <c r="Y90" s="834"/>
      <c r="Z90" s="834"/>
    </row>
    <row r="91" spans="2:26" x14ac:dyDescent="0.25">
      <c r="B91" s="834"/>
      <c r="C91" s="834"/>
      <c r="D91" s="834"/>
      <c r="E91" s="834"/>
      <c r="F91" s="834"/>
      <c r="G91" s="834"/>
      <c r="H91" s="834"/>
      <c r="I91" s="834"/>
      <c r="J91" s="834"/>
      <c r="K91" s="834"/>
      <c r="L91" s="834"/>
      <c r="M91" s="834"/>
      <c r="N91" s="834"/>
      <c r="O91" s="834"/>
      <c r="P91" s="834"/>
      <c r="Q91" s="834"/>
      <c r="R91" s="834"/>
      <c r="S91" s="834"/>
      <c r="T91" s="834"/>
      <c r="U91" s="834"/>
      <c r="V91" s="834"/>
      <c r="W91" s="834"/>
      <c r="X91" s="834"/>
      <c r="Y91" s="834"/>
      <c r="Z91" s="834"/>
    </row>
    <row r="92" spans="2:26" x14ac:dyDescent="0.25">
      <c r="B92" s="834"/>
      <c r="C92" s="834"/>
      <c r="D92" s="834"/>
      <c r="E92" s="834"/>
      <c r="F92" s="834"/>
      <c r="G92" s="834"/>
      <c r="H92" s="834"/>
      <c r="I92" s="834"/>
      <c r="J92" s="834"/>
      <c r="K92" s="834"/>
      <c r="L92" s="834"/>
      <c r="M92" s="834"/>
      <c r="N92" s="834"/>
      <c r="O92" s="834"/>
      <c r="P92" s="834"/>
      <c r="Q92" s="834"/>
      <c r="R92" s="834"/>
      <c r="S92" s="834"/>
      <c r="T92" s="834"/>
      <c r="U92" s="834"/>
      <c r="V92" s="834"/>
      <c r="W92" s="834"/>
      <c r="X92" s="834"/>
      <c r="Y92" s="834"/>
      <c r="Z92" s="834"/>
    </row>
    <row r="93" spans="2:26" x14ac:dyDescent="0.25">
      <c r="B93" s="834"/>
      <c r="C93" s="834"/>
      <c r="D93" s="834"/>
      <c r="E93" s="834"/>
      <c r="F93" s="834"/>
      <c r="G93" s="834"/>
      <c r="H93" s="834"/>
      <c r="I93" s="834"/>
      <c r="J93" s="834"/>
      <c r="K93" s="834"/>
      <c r="L93" s="834"/>
      <c r="M93" s="834"/>
      <c r="N93" s="834"/>
      <c r="O93" s="834"/>
      <c r="P93" s="834"/>
      <c r="Q93" s="834"/>
      <c r="R93" s="834"/>
      <c r="S93" s="834"/>
      <c r="T93" s="834"/>
      <c r="U93" s="834"/>
      <c r="V93" s="834"/>
      <c r="W93" s="834"/>
      <c r="X93" s="834"/>
      <c r="Y93" s="834"/>
      <c r="Z93" s="834"/>
    </row>
    <row r="94" spans="2:26" x14ac:dyDescent="0.25">
      <c r="B94" s="834"/>
      <c r="C94" s="834"/>
      <c r="D94" s="834"/>
      <c r="E94" s="834"/>
      <c r="F94" s="834"/>
      <c r="G94" s="834"/>
      <c r="H94" s="834"/>
      <c r="I94" s="834"/>
      <c r="J94" s="834"/>
      <c r="K94" s="834"/>
      <c r="L94" s="834"/>
      <c r="M94" s="834"/>
      <c r="N94" s="834"/>
      <c r="O94" s="834"/>
      <c r="P94" s="834"/>
      <c r="Q94" s="834"/>
      <c r="R94" s="834"/>
      <c r="S94" s="834"/>
      <c r="T94" s="834"/>
      <c r="U94" s="834"/>
      <c r="V94" s="834"/>
      <c r="W94" s="834"/>
      <c r="X94" s="834"/>
      <c r="Y94" s="834"/>
      <c r="Z94" s="834"/>
    </row>
  </sheetData>
  <sheetProtection algorithmName="SHA-512" hashValue="iiiX1qwdupioFL+B2wLSC+AJtntRn9/PB2meSfY2aebt05CCOJegh1Hpl95ntRp/GvP3eRiZWWa42ydo3foQ1Q==" saltValue="AL2gegxIMhdp+vJjnIYW0g==" spinCount="100000" sheet="1" objects="1" scenarios="1"/>
  <mergeCells count="32">
    <mergeCell ref="AO15:AZ15"/>
    <mergeCell ref="AB15:AM16"/>
    <mergeCell ref="B2:Z9"/>
    <mergeCell ref="B1:Z1"/>
    <mergeCell ref="AB1:AM1"/>
    <mergeCell ref="AO1:AZ1"/>
    <mergeCell ref="AB14:AM14"/>
    <mergeCell ref="B10:Z10"/>
    <mergeCell ref="AB8:AM9"/>
    <mergeCell ref="AB6:AM7"/>
    <mergeCell ref="AB4:AM5"/>
    <mergeCell ref="AB2:AM3"/>
    <mergeCell ref="AO2:AZ13"/>
    <mergeCell ref="B11:Z41"/>
    <mergeCell ref="AO23:AZ24"/>
    <mergeCell ref="AO16:AZ17"/>
    <mergeCell ref="AO18:AZ19"/>
    <mergeCell ref="AB19:AM20"/>
    <mergeCell ref="AO20:AZ20"/>
    <mergeCell ref="B43:Z94"/>
    <mergeCell ref="B42:Z42"/>
    <mergeCell ref="AB21:AM22"/>
    <mergeCell ref="AB28:AM29"/>
    <mergeCell ref="AB30:AM31"/>
    <mergeCell ref="AB32:AM33"/>
    <mergeCell ref="AO21:AZ22"/>
    <mergeCell ref="AB10:AM11"/>
    <mergeCell ref="AB12:AM13"/>
    <mergeCell ref="AB23:AM24"/>
    <mergeCell ref="AB25:AM25"/>
    <mergeCell ref="AB26:AM27"/>
    <mergeCell ref="AB17:AM18"/>
  </mergeCells>
  <phoneticPr fontId="86"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00E900"/>
  </sheetPr>
  <dimension ref="B2:BP38"/>
  <sheetViews>
    <sheetView showGridLines="0" topLeftCell="B1" workbookViewId="0">
      <selection activeCell="AQ10" sqref="AQ10:BA10"/>
    </sheetView>
  </sheetViews>
  <sheetFormatPr defaultColWidth="2.6640625" defaultRowHeight="16.5" customHeight="1" x14ac:dyDescent="0.25"/>
  <cols>
    <col min="1" max="1" width="2.6640625" style="1" customWidth="1"/>
    <col min="2" max="16384" width="2.6640625" style="1"/>
  </cols>
  <sheetData>
    <row r="2" spans="2:68" ht="16.5" customHeight="1" x14ac:dyDescent="0.25">
      <c r="B2" s="891" t="s">
        <v>4231</v>
      </c>
      <c r="C2" s="891"/>
      <c r="D2" s="891"/>
      <c r="E2" s="891"/>
      <c r="F2" s="891"/>
      <c r="G2" s="891"/>
      <c r="H2" s="891"/>
      <c r="I2" s="891"/>
      <c r="J2" s="891"/>
      <c r="K2" s="891"/>
      <c r="L2" s="891"/>
      <c r="M2" s="891"/>
      <c r="N2" s="891"/>
      <c r="O2" s="891"/>
      <c r="P2" s="891"/>
      <c r="Q2" s="891"/>
      <c r="R2" s="891"/>
      <c r="S2" s="891"/>
      <c r="T2" s="891"/>
      <c r="U2" s="891"/>
      <c r="V2" s="891"/>
      <c r="W2" s="891"/>
      <c r="X2" s="891"/>
      <c r="Y2" s="891"/>
      <c r="Z2" s="2"/>
      <c r="AA2" s="892" t="s">
        <v>4232</v>
      </c>
      <c r="AB2" s="892"/>
      <c r="AC2" s="892"/>
      <c r="AD2" s="892"/>
      <c r="AE2" s="892"/>
      <c r="AF2" s="892"/>
      <c r="AG2" s="892"/>
      <c r="AH2" s="892"/>
      <c r="AI2" s="892"/>
      <c r="AJ2" s="892"/>
      <c r="AK2" s="892"/>
      <c r="AL2" s="892"/>
      <c r="AM2" s="892"/>
      <c r="AN2" s="2"/>
      <c r="AO2" s="892" t="s">
        <v>4233</v>
      </c>
      <c r="AP2" s="892"/>
      <c r="AQ2" s="892"/>
      <c r="AR2" s="892"/>
      <c r="AS2" s="892"/>
      <c r="AT2" s="892"/>
      <c r="AU2" s="892"/>
      <c r="AV2" s="892"/>
      <c r="AW2" s="892"/>
      <c r="AX2" s="892"/>
      <c r="AY2" s="892"/>
      <c r="AZ2" s="892"/>
      <c r="BA2" s="892"/>
      <c r="BB2" s="2"/>
      <c r="BC2" s="892" t="s">
        <v>4234</v>
      </c>
      <c r="BD2" s="892"/>
      <c r="BE2" s="892"/>
      <c r="BF2" s="892"/>
      <c r="BG2" s="892"/>
      <c r="BH2" s="892"/>
      <c r="BI2" s="892"/>
      <c r="BJ2" s="892"/>
      <c r="BK2" s="892"/>
      <c r="BL2" s="892"/>
      <c r="BM2" s="892"/>
      <c r="BN2" s="892"/>
      <c r="BO2" s="892"/>
      <c r="BP2" s="2"/>
    </row>
    <row r="3" spans="2:68" ht="16.5" customHeight="1" x14ac:dyDescent="0.25">
      <c r="B3" s="878" t="s">
        <v>4235</v>
      </c>
      <c r="C3" s="879"/>
      <c r="D3" s="879"/>
      <c r="E3" s="879"/>
      <c r="F3" s="879"/>
      <c r="G3" s="879"/>
      <c r="H3" s="879"/>
      <c r="I3" s="879"/>
      <c r="J3" s="879"/>
      <c r="K3" s="879"/>
      <c r="L3" s="879"/>
      <c r="M3" s="879"/>
      <c r="N3" s="879"/>
      <c r="O3" s="879"/>
      <c r="P3" s="879"/>
      <c r="Q3" s="879"/>
      <c r="R3" s="879"/>
      <c r="S3" s="879"/>
      <c r="T3" s="879"/>
      <c r="U3" s="879"/>
      <c r="V3" s="879"/>
      <c r="W3" s="879"/>
      <c r="X3" s="879"/>
      <c r="Y3" s="880"/>
      <c r="Z3" s="2"/>
      <c r="AA3" s="865"/>
      <c r="AB3" s="865"/>
      <c r="AC3" s="865"/>
      <c r="AD3" s="865"/>
      <c r="AE3" s="865"/>
      <c r="AF3" s="865"/>
      <c r="AG3" s="865"/>
      <c r="AH3" s="865"/>
      <c r="AI3" s="865"/>
      <c r="AJ3" s="865"/>
      <c r="AK3" s="865"/>
      <c r="AL3" s="865"/>
      <c r="AM3" s="865"/>
      <c r="AN3" s="2"/>
      <c r="AO3" s="877"/>
      <c r="AP3" s="877"/>
      <c r="AQ3" s="890" t="s">
        <v>4236</v>
      </c>
      <c r="AR3" s="890"/>
      <c r="AS3" s="890"/>
      <c r="AT3" s="890"/>
      <c r="AU3" s="890"/>
      <c r="AV3" s="890"/>
      <c r="AW3" s="890"/>
      <c r="AX3" s="890"/>
      <c r="AY3" s="890"/>
      <c r="AZ3" s="890"/>
      <c r="BA3" s="890"/>
      <c r="BB3" s="2"/>
      <c r="BC3" s="865" t="s">
        <v>4237</v>
      </c>
      <c r="BD3" s="865"/>
      <c r="BE3" s="865"/>
      <c r="BF3" s="865"/>
      <c r="BG3" s="865"/>
      <c r="BH3" s="865"/>
      <c r="BI3" s="865"/>
      <c r="BJ3" s="865"/>
      <c r="BK3" s="865"/>
      <c r="BL3" s="865"/>
      <c r="BM3" s="865"/>
      <c r="BN3" s="865"/>
      <c r="BO3" s="865"/>
      <c r="BP3" s="2"/>
    </row>
    <row r="4" spans="2:68" ht="16.5" customHeight="1" x14ac:dyDescent="0.25">
      <c r="B4" s="881"/>
      <c r="C4" s="882"/>
      <c r="D4" s="882"/>
      <c r="E4" s="882"/>
      <c r="F4" s="882"/>
      <c r="G4" s="882"/>
      <c r="H4" s="882"/>
      <c r="I4" s="882"/>
      <c r="J4" s="882"/>
      <c r="K4" s="882"/>
      <c r="L4" s="882"/>
      <c r="M4" s="882"/>
      <c r="N4" s="882"/>
      <c r="O4" s="882"/>
      <c r="P4" s="882"/>
      <c r="Q4" s="882"/>
      <c r="R4" s="882"/>
      <c r="S4" s="882"/>
      <c r="T4" s="882"/>
      <c r="U4" s="882"/>
      <c r="V4" s="882"/>
      <c r="W4" s="882"/>
      <c r="X4" s="882"/>
      <c r="Y4" s="883"/>
      <c r="Z4" s="2"/>
      <c r="AA4" s="865"/>
      <c r="AB4" s="865"/>
      <c r="AC4" s="865"/>
      <c r="AD4" s="865"/>
      <c r="AE4" s="865"/>
      <c r="AF4" s="865"/>
      <c r="AG4" s="865"/>
      <c r="AH4" s="865"/>
      <c r="AI4" s="865"/>
      <c r="AJ4" s="865"/>
      <c r="AK4" s="865"/>
      <c r="AL4" s="865"/>
      <c r="AM4" s="865"/>
      <c r="AN4" s="2"/>
      <c r="AO4" s="877"/>
      <c r="AP4" s="877"/>
      <c r="AQ4" s="890" t="s">
        <v>4238</v>
      </c>
      <c r="AR4" s="890"/>
      <c r="AS4" s="890"/>
      <c r="AT4" s="890"/>
      <c r="AU4" s="890"/>
      <c r="AV4" s="890"/>
      <c r="AW4" s="890"/>
      <c r="AX4" s="890"/>
      <c r="AY4" s="890"/>
      <c r="AZ4" s="890"/>
      <c r="BA4" s="890"/>
      <c r="BB4" s="2"/>
      <c r="BC4" s="865" t="s">
        <v>4239</v>
      </c>
      <c r="BD4" s="865"/>
      <c r="BE4" s="865"/>
      <c r="BF4" s="865"/>
      <c r="BG4" s="865"/>
      <c r="BH4" s="865"/>
      <c r="BI4" s="865"/>
      <c r="BJ4" s="865"/>
      <c r="BK4" s="865"/>
      <c r="BL4" s="865"/>
      <c r="BM4" s="865"/>
      <c r="BN4" s="865"/>
      <c r="BO4" s="865"/>
      <c r="BP4" s="2"/>
    </row>
    <row r="5" spans="2:68" ht="16.5" customHeight="1" x14ac:dyDescent="0.25">
      <c r="B5" s="875" t="s">
        <v>4240</v>
      </c>
      <c r="C5" s="875"/>
      <c r="D5" s="875"/>
      <c r="E5" s="875"/>
      <c r="F5" s="875"/>
      <c r="G5" s="875"/>
      <c r="H5" s="875"/>
      <c r="I5" s="875"/>
      <c r="J5" s="875"/>
      <c r="K5" s="875"/>
      <c r="L5" s="875"/>
      <c r="M5" s="875"/>
      <c r="N5" s="875"/>
      <c r="O5" s="875"/>
      <c r="P5" s="875"/>
      <c r="Q5" s="875"/>
      <c r="R5" s="875"/>
      <c r="S5" s="875"/>
      <c r="T5" s="875"/>
      <c r="U5" s="875"/>
      <c r="V5" s="875"/>
      <c r="W5" s="875"/>
      <c r="X5" s="875"/>
      <c r="Y5" s="875"/>
      <c r="Z5" s="2"/>
      <c r="AA5" s="865"/>
      <c r="AB5" s="865"/>
      <c r="AC5" s="865"/>
      <c r="AD5" s="865"/>
      <c r="AE5" s="865"/>
      <c r="AF5" s="865"/>
      <c r="AG5" s="865"/>
      <c r="AH5" s="865"/>
      <c r="AI5" s="865"/>
      <c r="AJ5" s="865"/>
      <c r="AK5" s="865"/>
      <c r="AL5" s="865"/>
      <c r="AM5" s="865"/>
      <c r="AN5" s="2"/>
      <c r="AO5" s="2"/>
      <c r="AP5" s="2"/>
      <c r="AQ5" s="2"/>
      <c r="AR5" s="2"/>
      <c r="AS5" s="2"/>
      <c r="AT5" s="2"/>
      <c r="AU5" s="2"/>
      <c r="AV5" s="2"/>
      <c r="AW5" s="2"/>
      <c r="AX5" s="2"/>
      <c r="AY5" s="2"/>
      <c r="AZ5" s="2"/>
      <c r="BA5" s="2"/>
      <c r="BB5" s="2"/>
      <c r="BC5" s="865"/>
      <c r="BD5" s="865"/>
      <c r="BE5" s="865"/>
      <c r="BF5" s="865"/>
      <c r="BG5" s="865"/>
      <c r="BH5" s="865"/>
      <c r="BI5" s="865"/>
      <c r="BJ5" s="865"/>
      <c r="BK5" s="865"/>
      <c r="BL5" s="865"/>
      <c r="BM5" s="865"/>
      <c r="BN5" s="865"/>
      <c r="BO5" s="865"/>
      <c r="BP5" s="2"/>
    </row>
    <row r="6" spans="2:68" ht="16.5" customHeight="1" x14ac:dyDescent="0.25">
      <c r="B6" s="875" t="s">
        <v>4241</v>
      </c>
      <c r="C6" s="875"/>
      <c r="D6" s="875"/>
      <c r="E6" s="875"/>
      <c r="F6" s="875"/>
      <c r="G6" s="875"/>
      <c r="H6" s="875"/>
      <c r="I6" s="875"/>
      <c r="J6" s="875"/>
      <c r="K6" s="875"/>
      <c r="L6" s="875"/>
      <c r="M6" s="875"/>
      <c r="N6" s="875"/>
      <c r="O6" s="875"/>
      <c r="P6" s="875"/>
      <c r="Q6" s="875"/>
      <c r="R6" s="875"/>
      <c r="S6" s="875"/>
      <c r="T6" s="875"/>
      <c r="U6" s="875"/>
      <c r="V6" s="875"/>
      <c r="W6" s="875"/>
      <c r="X6" s="875"/>
      <c r="Y6" s="875"/>
      <c r="Z6" s="2"/>
      <c r="AA6" s="865"/>
      <c r="AB6" s="865"/>
      <c r="AC6" s="865"/>
      <c r="AD6" s="865"/>
      <c r="AE6" s="865"/>
      <c r="AF6" s="865"/>
      <c r="AG6" s="865"/>
      <c r="AH6" s="865"/>
      <c r="AI6" s="865"/>
      <c r="AJ6" s="865"/>
      <c r="AK6" s="865"/>
      <c r="AL6" s="865"/>
      <c r="AM6" s="865"/>
      <c r="AN6" s="2"/>
      <c r="AO6" s="873"/>
      <c r="AP6" s="873"/>
      <c r="AQ6" s="865" t="s">
        <v>4242</v>
      </c>
      <c r="AR6" s="865"/>
      <c r="AS6" s="865"/>
      <c r="AT6" s="865"/>
      <c r="AU6" s="865"/>
      <c r="AV6" s="865"/>
      <c r="AW6" s="865"/>
      <c r="AX6" s="865"/>
      <c r="AY6" s="865"/>
      <c r="AZ6" s="865"/>
      <c r="BA6" s="865"/>
      <c r="BB6" s="2"/>
      <c r="BC6" s="3"/>
      <c r="BD6" s="3"/>
      <c r="BE6" s="3"/>
      <c r="BF6" s="3"/>
      <c r="BG6" s="3"/>
      <c r="BH6" s="3"/>
      <c r="BI6" s="3"/>
      <c r="BJ6" s="3"/>
      <c r="BK6" s="3"/>
      <c r="BL6" s="3"/>
      <c r="BM6" s="3"/>
      <c r="BN6" s="3"/>
      <c r="BO6" s="3"/>
      <c r="BP6" s="2"/>
    </row>
    <row r="7" spans="2:68" ht="16.5" customHeight="1" x14ac:dyDescent="0.25">
      <c r="B7" s="889" t="s">
        <v>4243</v>
      </c>
      <c r="C7" s="889"/>
      <c r="D7" s="889"/>
      <c r="E7" s="889"/>
      <c r="F7" s="889"/>
      <c r="G7" s="889"/>
      <c r="H7" s="889"/>
      <c r="I7" s="889"/>
      <c r="J7" s="889"/>
      <c r="K7" s="889"/>
      <c r="L7" s="889"/>
      <c r="M7" s="889"/>
      <c r="N7" s="889"/>
      <c r="O7" s="889"/>
      <c r="P7" s="889"/>
      <c r="Q7" s="889"/>
      <c r="R7" s="889"/>
      <c r="S7" s="889"/>
      <c r="T7" s="889"/>
      <c r="U7" s="889"/>
      <c r="V7" s="889"/>
      <c r="W7" s="889"/>
      <c r="X7" s="889"/>
      <c r="Y7" s="889"/>
      <c r="Z7" s="2"/>
      <c r="AA7" s="865"/>
      <c r="AB7" s="865"/>
      <c r="AC7" s="865"/>
      <c r="AD7" s="865"/>
      <c r="AE7" s="865"/>
      <c r="AF7" s="865"/>
      <c r="AG7" s="865"/>
      <c r="AH7" s="865"/>
      <c r="AI7" s="865"/>
      <c r="AJ7" s="865"/>
      <c r="AK7" s="865"/>
      <c r="AL7" s="865"/>
      <c r="AM7" s="865"/>
      <c r="AN7" s="2"/>
      <c r="AO7" s="873"/>
      <c r="AP7" s="873"/>
      <c r="AQ7" s="865" t="s">
        <v>4244</v>
      </c>
      <c r="AR7" s="865"/>
      <c r="AS7" s="865"/>
      <c r="AT7" s="865"/>
      <c r="AU7" s="865"/>
      <c r="AV7" s="865"/>
      <c r="AW7" s="865"/>
      <c r="AX7" s="865"/>
      <c r="AY7" s="865"/>
      <c r="AZ7" s="865"/>
      <c r="BA7" s="865"/>
      <c r="BB7" s="2"/>
      <c r="BC7" s="865" t="s">
        <v>4245</v>
      </c>
      <c r="BD7" s="865"/>
      <c r="BE7" s="865"/>
      <c r="BF7" s="865"/>
      <c r="BG7" s="865"/>
      <c r="BH7" s="865"/>
      <c r="BI7" s="865"/>
      <c r="BJ7" s="865"/>
      <c r="BK7" s="865"/>
      <c r="BL7" s="865"/>
      <c r="BM7" s="865"/>
      <c r="BN7" s="865"/>
      <c r="BO7" s="865"/>
      <c r="BP7" s="2"/>
    </row>
    <row r="8" spans="2:68" ht="16.5" customHeight="1" x14ac:dyDescent="0.25">
      <c r="B8" s="875" t="s">
        <v>4246</v>
      </c>
      <c r="C8" s="875"/>
      <c r="D8" s="875"/>
      <c r="E8" s="875"/>
      <c r="F8" s="875"/>
      <c r="G8" s="875"/>
      <c r="H8" s="875"/>
      <c r="I8" s="875"/>
      <c r="J8" s="875"/>
      <c r="K8" s="875"/>
      <c r="L8" s="875"/>
      <c r="M8" s="875"/>
      <c r="N8" s="875"/>
      <c r="O8" s="875"/>
      <c r="P8" s="875"/>
      <c r="Q8" s="875"/>
      <c r="R8" s="875"/>
      <c r="S8" s="875"/>
      <c r="T8" s="875"/>
      <c r="U8" s="875"/>
      <c r="V8" s="875"/>
      <c r="W8" s="875"/>
      <c r="X8" s="875"/>
      <c r="Y8" s="875"/>
      <c r="Z8" s="2"/>
      <c r="AA8" s="865"/>
      <c r="AB8" s="865"/>
      <c r="AC8" s="865"/>
      <c r="AD8" s="865"/>
      <c r="AE8" s="865"/>
      <c r="AF8" s="865"/>
      <c r="AG8" s="865"/>
      <c r="AH8" s="865"/>
      <c r="AI8" s="865"/>
      <c r="AJ8" s="865"/>
      <c r="AK8" s="865"/>
      <c r="AL8" s="865"/>
      <c r="AM8" s="865"/>
      <c r="AN8" s="2"/>
      <c r="AO8" s="2"/>
      <c r="AP8" s="2"/>
      <c r="AQ8" s="2"/>
      <c r="AR8" s="2"/>
      <c r="AS8" s="2"/>
      <c r="AT8" s="2"/>
      <c r="AU8" s="2"/>
      <c r="AV8" s="2"/>
      <c r="AW8" s="2"/>
      <c r="AX8" s="2"/>
      <c r="AY8" s="2"/>
      <c r="AZ8" s="2"/>
      <c r="BA8" s="2"/>
      <c r="BB8" s="2"/>
      <c r="BC8" s="865" t="s">
        <v>4247</v>
      </c>
      <c r="BD8" s="865"/>
      <c r="BE8" s="865"/>
      <c r="BF8" s="865"/>
      <c r="BG8" s="865"/>
      <c r="BH8" s="865"/>
      <c r="BI8" s="865"/>
      <c r="BJ8" s="865"/>
      <c r="BK8" s="865"/>
      <c r="BL8" s="865"/>
      <c r="BM8" s="865"/>
      <c r="BN8" s="865"/>
      <c r="BO8" s="865"/>
      <c r="BP8" s="2"/>
    </row>
    <row r="9" spans="2:68" ht="16.5" customHeight="1" x14ac:dyDescent="0.25">
      <c r="B9" s="875" t="s">
        <v>4248</v>
      </c>
      <c r="C9" s="875"/>
      <c r="D9" s="875"/>
      <c r="E9" s="875"/>
      <c r="F9" s="875"/>
      <c r="G9" s="875"/>
      <c r="H9" s="875"/>
      <c r="I9" s="875"/>
      <c r="J9" s="875"/>
      <c r="K9" s="875"/>
      <c r="L9" s="875"/>
      <c r="M9" s="875"/>
      <c r="N9" s="875"/>
      <c r="O9" s="875"/>
      <c r="P9" s="875"/>
      <c r="Q9" s="875"/>
      <c r="R9" s="875"/>
      <c r="S9" s="875"/>
      <c r="T9" s="875"/>
      <c r="U9" s="875"/>
      <c r="V9" s="875"/>
      <c r="W9" s="875"/>
      <c r="X9" s="875"/>
      <c r="Y9" s="875"/>
      <c r="Z9" s="2"/>
      <c r="AA9" s="865"/>
      <c r="AB9" s="865"/>
      <c r="AC9" s="865"/>
      <c r="AD9" s="865"/>
      <c r="AE9" s="865"/>
      <c r="AF9" s="865"/>
      <c r="AG9" s="865"/>
      <c r="AH9" s="865"/>
      <c r="AI9" s="865"/>
      <c r="AJ9" s="865"/>
      <c r="AK9" s="865"/>
      <c r="AL9" s="865"/>
      <c r="AM9" s="865"/>
      <c r="AN9" s="2"/>
      <c r="AO9" s="874" t="s">
        <v>4249</v>
      </c>
      <c r="AP9" s="874"/>
      <c r="AQ9" s="865" t="s">
        <v>4250</v>
      </c>
      <c r="AR9" s="865"/>
      <c r="AS9" s="865"/>
      <c r="AT9" s="865"/>
      <c r="AU9" s="865"/>
      <c r="AV9" s="865"/>
      <c r="AW9" s="865"/>
      <c r="AX9" s="865"/>
      <c r="AY9" s="865"/>
      <c r="AZ9" s="865"/>
      <c r="BA9" s="865"/>
      <c r="BB9" s="2"/>
      <c r="BC9" s="865"/>
      <c r="BD9" s="865"/>
      <c r="BE9" s="865"/>
      <c r="BF9" s="865"/>
      <c r="BG9" s="865"/>
      <c r="BH9" s="865"/>
      <c r="BI9" s="865"/>
      <c r="BJ9" s="865"/>
      <c r="BK9" s="865"/>
      <c r="BL9" s="865"/>
      <c r="BM9" s="865"/>
      <c r="BN9" s="865"/>
      <c r="BO9" s="865"/>
      <c r="BP9" s="2"/>
    </row>
    <row r="10" spans="2:68" ht="16.5" customHeight="1" x14ac:dyDescent="0.25">
      <c r="B10" s="875" t="s">
        <v>4251</v>
      </c>
      <c r="C10" s="875"/>
      <c r="D10" s="875"/>
      <c r="E10" s="875"/>
      <c r="F10" s="875"/>
      <c r="G10" s="875"/>
      <c r="H10" s="875"/>
      <c r="I10" s="875"/>
      <c r="J10" s="875"/>
      <c r="K10" s="875"/>
      <c r="L10" s="875"/>
      <c r="M10" s="875"/>
      <c r="N10" s="875"/>
      <c r="O10" s="875"/>
      <c r="P10" s="875"/>
      <c r="Q10" s="875"/>
      <c r="R10" s="875"/>
      <c r="S10" s="875"/>
      <c r="T10" s="875"/>
      <c r="U10" s="875"/>
      <c r="V10" s="875"/>
      <c r="W10" s="875"/>
      <c r="X10" s="875"/>
      <c r="Y10" s="875"/>
      <c r="Z10" s="2"/>
      <c r="AA10" s="865"/>
      <c r="AB10" s="865"/>
      <c r="AC10" s="865"/>
      <c r="AD10" s="865"/>
      <c r="AE10" s="865"/>
      <c r="AF10" s="865"/>
      <c r="AG10" s="865"/>
      <c r="AH10" s="865"/>
      <c r="AI10" s="865"/>
      <c r="AJ10" s="865"/>
      <c r="AK10" s="865"/>
      <c r="AL10" s="865"/>
      <c r="AM10" s="865"/>
      <c r="AN10" s="2"/>
      <c r="AO10" s="874"/>
      <c r="AP10" s="874"/>
      <c r="AQ10" s="865" t="s">
        <v>4252</v>
      </c>
      <c r="AR10" s="865"/>
      <c r="AS10" s="865"/>
      <c r="AT10" s="865"/>
      <c r="AU10" s="865"/>
      <c r="AV10" s="865"/>
      <c r="AW10" s="865"/>
      <c r="AX10" s="865"/>
      <c r="AY10" s="865"/>
      <c r="AZ10" s="865"/>
      <c r="BA10" s="865"/>
      <c r="BB10" s="2"/>
      <c r="BC10" s="3"/>
      <c r="BD10" s="3"/>
      <c r="BE10" s="3"/>
      <c r="BF10" s="3"/>
      <c r="BG10" s="3"/>
      <c r="BH10" s="3"/>
      <c r="BI10" s="3"/>
      <c r="BJ10" s="3"/>
      <c r="BK10" s="3"/>
      <c r="BL10" s="3"/>
      <c r="BM10" s="3"/>
      <c r="BN10" s="3"/>
      <c r="BO10" s="3"/>
      <c r="BP10" s="2"/>
    </row>
    <row r="11" spans="2:68" ht="16.5" customHeight="1" x14ac:dyDescent="0.25">
      <c r="B11" s="875" t="s">
        <v>4253</v>
      </c>
      <c r="C11" s="875"/>
      <c r="D11" s="875"/>
      <c r="E11" s="875"/>
      <c r="F11" s="875"/>
      <c r="G11" s="875"/>
      <c r="H11" s="875"/>
      <c r="I11" s="875"/>
      <c r="J11" s="875"/>
      <c r="K11" s="875"/>
      <c r="L11" s="875"/>
      <c r="M11" s="875"/>
      <c r="N11" s="875"/>
      <c r="O11" s="875"/>
      <c r="P11" s="875"/>
      <c r="Q11" s="875"/>
      <c r="R11" s="875"/>
      <c r="S11" s="875"/>
      <c r="T11" s="875"/>
      <c r="U11" s="875"/>
      <c r="V11" s="875"/>
      <c r="W11" s="875"/>
      <c r="X11" s="875"/>
      <c r="Y11" s="875"/>
      <c r="Z11" s="2"/>
      <c r="AA11" s="865"/>
      <c r="AB11" s="865"/>
      <c r="AC11" s="865"/>
      <c r="AD11" s="865"/>
      <c r="AE11" s="865"/>
      <c r="AF11" s="865"/>
      <c r="AG11" s="865"/>
      <c r="AH11" s="865"/>
      <c r="AI11" s="865"/>
      <c r="AJ11" s="865"/>
      <c r="AK11" s="865"/>
      <c r="AL11" s="865"/>
      <c r="AM11" s="865"/>
      <c r="AN11" s="2"/>
      <c r="AO11" s="2"/>
      <c r="AP11" s="2"/>
      <c r="AQ11" s="2"/>
      <c r="AR11" s="2"/>
      <c r="AS11" s="2"/>
      <c r="AT11" s="2"/>
      <c r="AU11" s="2"/>
      <c r="AV11" s="2"/>
      <c r="AW11" s="2"/>
      <c r="AX11" s="2"/>
      <c r="AY11" s="2"/>
      <c r="AZ11" s="2"/>
      <c r="BA11" s="2"/>
      <c r="BB11" s="2"/>
      <c r="BC11" s="865" t="s">
        <v>4254</v>
      </c>
      <c r="BD11" s="865"/>
      <c r="BE11" s="865"/>
      <c r="BF11" s="865"/>
      <c r="BG11" s="865"/>
      <c r="BH11" s="865"/>
      <c r="BI11" s="865"/>
      <c r="BJ11" s="865"/>
      <c r="BK11" s="865"/>
      <c r="BL11" s="865"/>
      <c r="BM11" s="865"/>
      <c r="BN11" s="865"/>
      <c r="BO11" s="865"/>
      <c r="BP11" s="2"/>
    </row>
    <row r="12" spans="2:68" ht="16.5" customHeight="1" x14ac:dyDescent="0.25">
      <c r="B12" s="875" t="s">
        <v>4255</v>
      </c>
      <c r="C12" s="875"/>
      <c r="D12" s="875"/>
      <c r="E12" s="875"/>
      <c r="F12" s="875"/>
      <c r="G12" s="875"/>
      <c r="H12" s="875"/>
      <c r="I12" s="875"/>
      <c r="J12" s="875"/>
      <c r="K12" s="875"/>
      <c r="L12" s="875"/>
      <c r="M12" s="875"/>
      <c r="N12" s="875"/>
      <c r="O12" s="875"/>
      <c r="P12" s="875"/>
      <c r="Q12" s="875"/>
      <c r="R12" s="875"/>
      <c r="S12" s="875"/>
      <c r="T12" s="875"/>
      <c r="U12" s="875"/>
      <c r="V12" s="875"/>
      <c r="W12" s="875"/>
      <c r="X12" s="875"/>
      <c r="Y12" s="875"/>
      <c r="Z12" s="2"/>
      <c r="AA12" s="865"/>
      <c r="AB12" s="865"/>
      <c r="AC12" s="865"/>
      <c r="AD12" s="865"/>
      <c r="AE12" s="865"/>
      <c r="AF12" s="865"/>
      <c r="AG12" s="865"/>
      <c r="AH12" s="865"/>
      <c r="AI12" s="865"/>
      <c r="AJ12" s="865"/>
      <c r="AK12" s="865"/>
      <c r="AL12" s="865"/>
      <c r="AM12" s="865"/>
      <c r="AN12" s="2"/>
      <c r="AO12" s="873"/>
      <c r="AP12" s="873"/>
      <c r="AQ12" s="865" t="s">
        <v>4256</v>
      </c>
      <c r="AR12" s="865"/>
      <c r="AS12" s="865"/>
      <c r="AT12" s="865"/>
      <c r="AU12" s="865"/>
      <c r="AV12" s="865"/>
      <c r="AW12" s="865"/>
      <c r="AX12" s="865"/>
      <c r="AY12" s="865"/>
      <c r="AZ12" s="865"/>
      <c r="BA12" s="865"/>
      <c r="BB12" s="2"/>
      <c r="BC12" s="865" t="s">
        <v>4257</v>
      </c>
      <c r="BD12" s="865"/>
      <c r="BE12" s="865"/>
      <c r="BF12" s="865"/>
      <c r="BG12" s="865"/>
      <c r="BH12" s="865"/>
      <c r="BI12" s="865"/>
      <c r="BJ12" s="865"/>
      <c r="BK12" s="865"/>
      <c r="BL12" s="865"/>
      <c r="BM12" s="865"/>
      <c r="BN12" s="865"/>
      <c r="BO12" s="865"/>
      <c r="BP12" s="2"/>
    </row>
    <row r="13" spans="2:68" ht="16.5" customHeight="1" x14ac:dyDescent="0.25">
      <c r="B13" s="875" t="s">
        <v>4258</v>
      </c>
      <c r="C13" s="875"/>
      <c r="D13" s="875"/>
      <c r="E13" s="875"/>
      <c r="F13" s="875"/>
      <c r="G13" s="875"/>
      <c r="H13" s="875"/>
      <c r="I13" s="875"/>
      <c r="J13" s="875"/>
      <c r="K13" s="875"/>
      <c r="L13" s="875"/>
      <c r="M13" s="875"/>
      <c r="N13" s="875"/>
      <c r="O13" s="875"/>
      <c r="P13" s="875"/>
      <c r="Q13" s="875"/>
      <c r="R13" s="875"/>
      <c r="S13" s="875"/>
      <c r="T13" s="875"/>
      <c r="U13" s="875"/>
      <c r="V13" s="875"/>
      <c r="W13" s="875"/>
      <c r="X13" s="875"/>
      <c r="Y13" s="875"/>
      <c r="Z13" s="2"/>
      <c r="AA13" s="865"/>
      <c r="AB13" s="865"/>
      <c r="AC13" s="865"/>
      <c r="AD13" s="865"/>
      <c r="AE13" s="865"/>
      <c r="AF13" s="865"/>
      <c r="AG13" s="865"/>
      <c r="AH13" s="865"/>
      <c r="AI13" s="865"/>
      <c r="AJ13" s="865"/>
      <c r="AK13" s="865"/>
      <c r="AL13" s="865"/>
      <c r="AM13" s="865"/>
      <c r="AN13" s="2"/>
      <c r="AO13" s="873"/>
      <c r="AP13" s="873"/>
      <c r="AQ13" s="865" t="s">
        <v>4259</v>
      </c>
      <c r="AR13" s="865"/>
      <c r="AS13" s="865"/>
      <c r="AT13" s="865"/>
      <c r="AU13" s="865"/>
      <c r="AV13" s="865"/>
      <c r="AW13" s="865"/>
      <c r="AX13" s="865"/>
      <c r="AY13" s="865"/>
      <c r="AZ13" s="865"/>
      <c r="BA13" s="865"/>
      <c r="BB13" s="2"/>
      <c r="BC13" s="865"/>
      <c r="BD13" s="865"/>
      <c r="BE13" s="865"/>
      <c r="BF13" s="865"/>
      <c r="BG13" s="865"/>
      <c r="BH13" s="865"/>
      <c r="BI13" s="865"/>
      <c r="BJ13" s="865"/>
      <c r="BK13" s="865"/>
      <c r="BL13" s="865"/>
      <c r="BM13" s="865"/>
      <c r="BN13" s="865"/>
      <c r="BO13" s="865"/>
      <c r="BP13" s="2"/>
    </row>
    <row r="14" spans="2:68" ht="16.5" customHeight="1" x14ac:dyDescent="0.25">
      <c r="B14" s="875" t="s">
        <v>4260</v>
      </c>
      <c r="C14" s="875"/>
      <c r="D14" s="875"/>
      <c r="E14" s="875"/>
      <c r="F14" s="875"/>
      <c r="G14" s="875"/>
      <c r="H14" s="875"/>
      <c r="I14" s="875"/>
      <c r="J14" s="875"/>
      <c r="K14" s="875"/>
      <c r="L14" s="875"/>
      <c r="M14" s="875"/>
      <c r="N14" s="875"/>
      <c r="O14" s="875"/>
      <c r="P14" s="875"/>
      <c r="Q14" s="875"/>
      <c r="R14" s="875"/>
      <c r="S14" s="875"/>
      <c r="T14" s="875"/>
      <c r="U14" s="875"/>
      <c r="V14" s="875"/>
      <c r="W14" s="875"/>
      <c r="X14" s="875"/>
      <c r="Y14" s="875"/>
      <c r="Z14" s="2"/>
      <c r="AA14" s="2"/>
      <c r="AB14" s="2"/>
      <c r="AC14" s="2"/>
      <c r="AD14" s="2"/>
      <c r="AE14" s="2"/>
      <c r="AF14" s="2"/>
      <c r="AG14" s="2"/>
      <c r="AH14" s="2"/>
      <c r="AI14" s="2"/>
      <c r="AJ14" s="2"/>
      <c r="AK14" s="2"/>
      <c r="AL14" s="2"/>
      <c r="AM14" s="2"/>
      <c r="AN14" s="2"/>
      <c r="AO14" s="873"/>
      <c r="AP14" s="873"/>
      <c r="AQ14" s="865" t="s">
        <v>4261</v>
      </c>
      <c r="AR14" s="865"/>
      <c r="AS14" s="865"/>
      <c r="AT14" s="865"/>
      <c r="AU14" s="865"/>
      <c r="AV14" s="865"/>
      <c r="AW14" s="865"/>
      <c r="AX14" s="865"/>
      <c r="AY14" s="865"/>
      <c r="AZ14" s="865"/>
      <c r="BA14" s="865"/>
      <c r="BB14" s="2"/>
      <c r="BC14" s="3"/>
      <c r="BD14" s="3"/>
      <c r="BE14" s="3"/>
      <c r="BF14" s="3"/>
      <c r="BG14" s="3"/>
      <c r="BH14" s="3"/>
      <c r="BI14" s="3"/>
      <c r="BJ14" s="3"/>
      <c r="BK14" s="3"/>
      <c r="BL14" s="3"/>
      <c r="BM14" s="3"/>
      <c r="BN14" s="3"/>
      <c r="BO14" s="3"/>
      <c r="BP14" s="2"/>
    </row>
    <row r="15" spans="2:68" ht="16.5" customHeight="1" x14ac:dyDescent="0.25">
      <c r="B15" s="875" t="s">
        <v>4262</v>
      </c>
      <c r="C15" s="875"/>
      <c r="D15" s="875"/>
      <c r="E15" s="875"/>
      <c r="F15" s="875"/>
      <c r="G15" s="875"/>
      <c r="H15" s="875"/>
      <c r="I15" s="875"/>
      <c r="J15" s="875"/>
      <c r="K15" s="875"/>
      <c r="L15" s="875"/>
      <c r="M15" s="875"/>
      <c r="N15" s="875"/>
      <c r="O15" s="875"/>
      <c r="P15" s="875"/>
      <c r="Q15" s="875"/>
      <c r="R15" s="875"/>
      <c r="S15" s="875"/>
      <c r="T15" s="875"/>
      <c r="U15" s="875"/>
      <c r="V15" s="875"/>
      <c r="W15" s="875"/>
      <c r="X15" s="875"/>
      <c r="Y15" s="875"/>
      <c r="Z15" s="2"/>
      <c r="AA15" s="2"/>
      <c r="AB15" s="2"/>
      <c r="AC15" s="2"/>
      <c r="AD15" s="2"/>
      <c r="AE15" s="2"/>
      <c r="AF15" s="2"/>
      <c r="AG15" s="2"/>
      <c r="AH15" s="2"/>
      <c r="AI15" s="2"/>
      <c r="AJ15" s="2"/>
      <c r="AK15" s="2"/>
      <c r="AL15" s="2"/>
      <c r="AM15" s="2"/>
      <c r="AN15" s="2"/>
      <c r="AO15" s="873"/>
      <c r="AP15" s="873"/>
      <c r="AQ15" s="865" t="s">
        <v>4263</v>
      </c>
      <c r="AR15" s="865"/>
      <c r="AS15" s="865"/>
      <c r="AT15" s="865"/>
      <c r="AU15" s="865"/>
      <c r="AV15" s="865"/>
      <c r="AW15" s="865"/>
      <c r="AX15" s="865"/>
      <c r="AY15" s="865"/>
      <c r="AZ15" s="865"/>
      <c r="BA15" s="865"/>
      <c r="BB15" s="2"/>
      <c r="BC15" s="865" t="s">
        <v>4264</v>
      </c>
      <c r="BD15" s="865"/>
      <c r="BE15" s="865"/>
      <c r="BF15" s="865"/>
      <c r="BG15" s="865"/>
      <c r="BH15" s="865"/>
      <c r="BI15" s="865"/>
      <c r="BJ15" s="865"/>
      <c r="BK15" s="865"/>
      <c r="BL15" s="865"/>
      <c r="BM15" s="865"/>
      <c r="BN15" s="865"/>
      <c r="BO15" s="865"/>
      <c r="BP15" s="2"/>
    </row>
    <row r="16" spans="2:68" ht="16.5" customHeight="1" x14ac:dyDescent="0.25">
      <c r="B16" s="875" t="s">
        <v>4265</v>
      </c>
      <c r="C16" s="875"/>
      <c r="D16" s="875"/>
      <c r="E16" s="875"/>
      <c r="F16" s="875"/>
      <c r="G16" s="875"/>
      <c r="H16" s="875"/>
      <c r="I16" s="875"/>
      <c r="J16" s="875"/>
      <c r="K16" s="875"/>
      <c r="L16" s="875"/>
      <c r="M16" s="875"/>
      <c r="N16" s="875"/>
      <c r="O16" s="875"/>
      <c r="P16" s="875"/>
      <c r="Q16" s="875"/>
      <c r="R16" s="875"/>
      <c r="S16" s="875"/>
      <c r="T16" s="875"/>
      <c r="U16" s="875"/>
      <c r="V16" s="875"/>
      <c r="W16" s="875"/>
      <c r="X16" s="875"/>
      <c r="Y16" s="875"/>
      <c r="Z16" s="2"/>
      <c r="AA16" s="888" t="s">
        <v>4266</v>
      </c>
      <c r="AB16" s="888"/>
      <c r="AC16" s="888"/>
      <c r="AD16" s="888"/>
      <c r="AE16" s="888"/>
      <c r="AF16" s="888"/>
      <c r="AG16" s="888"/>
      <c r="AH16" s="888"/>
      <c r="AI16" s="888"/>
      <c r="AJ16" s="888"/>
      <c r="AK16" s="888"/>
      <c r="AL16" s="888"/>
      <c r="AM16" s="888"/>
      <c r="AN16" s="2"/>
      <c r="AO16" s="2"/>
      <c r="AP16" s="2"/>
      <c r="AQ16" s="2"/>
      <c r="AR16" s="2"/>
      <c r="AS16" s="2"/>
      <c r="AT16" s="2"/>
      <c r="AU16" s="2"/>
      <c r="AV16" s="2"/>
      <c r="AW16" s="2"/>
      <c r="AX16" s="2"/>
      <c r="AY16" s="2"/>
      <c r="AZ16" s="2"/>
      <c r="BA16" s="2"/>
      <c r="BB16" s="2"/>
      <c r="BC16" s="865" t="s">
        <v>4267</v>
      </c>
      <c r="BD16" s="865"/>
      <c r="BE16" s="865"/>
      <c r="BF16" s="865"/>
      <c r="BG16" s="865"/>
      <c r="BH16" s="865"/>
      <c r="BI16" s="865"/>
      <c r="BJ16" s="865"/>
      <c r="BK16" s="865"/>
      <c r="BL16" s="865"/>
      <c r="BM16" s="865"/>
      <c r="BN16" s="865"/>
      <c r="BO16" s="865"/>
      <c r="BP16" s="2"/>
    </row>
    <row r="17" spans="2:68" ht="16.5" customHeight="1" x14ac:dyDescent="0.25">
      <c r="B17" s="875" t="s">
        <v>4268</v>
      </c>
      <c r="C17" s="875"/>
      <c r="D17" s="875"/>
      <c r="E17" s="875"/>
      <c r="F17" s="875"/>
      <c r="G17" s="875"/>
      <c r="H17" s="875"/>
      <c r="I17" s="875"/>
      <c r="J17" s="875"/>
      <c r="K17" s="875"/>
      <c r="L17" s="875"/>
      <c r="M17" s="875"/>
      <c r="N17" s="875"/>
      <c r="O17" s="875"/>
      <c r="P17" s="875"/>
      <c r="Q17" s="875"/>
      <c r="R17" s="875"/>
      <c r="S17" s="875"/>
      <c r="T17" s="875"/>
      <c r="U17" s="875"/>
      <c r="V17" s="875"/>
      <c r="W17" s="875"/>
      <c r="X17" s="875"/>
      <c r="Y17" s="875"/>
      <c r="Z17" s="2"/>
      <c r="AA17" s="888" t="s">
        <v>4269</v>
      </c>
      <c r="AB17" s="888"/>
      <c r="AC17" s="888"/>
      <c r="AD17" s="888"/>
      <c r="AE17" s="888"/>
      <c r="AF17" s="888"/>
      <c r="AG17" s="888"/>
      <c r="AH17" s="888"/>
      <c r="AI17" s="888"/>
      <c r="AJ17" s="888"/>
      <c r="AK17" s="888"/>
      <c r="AL17" s="888"/>
      <c r="AM17" s="888"/>
      <c r="AN17" s="2"/>
      <c r="AO17" s="2"/>
      <c r="AP17" s="2"/>
      <c r="AQ17" s="2"/>
      <c r="AR17" s="2"/>
      <c r="AS17" s="2"/>
      <c r="AT17" s="2"/>
      <c r="AU17" s="2"/>
      <c r="AV17" s="2"/>
      <c r="AW17" s="2"/>
      <c r="AX17" s="2"/>
      <c r="AY17" s="2"/>
      <c r="AZ17" s="2"/>
      <c r="BA17" s="2"/>
      <c r="BB17" s="2"/>
      <c r="BC17" s="865"/>
      <c r="BD17" s="865"/>
      <c r="BE17" s="865"/>
      <c r="BF17" s="865"/>
      <c r="BG17" s="865"/>
      <c r="BH17" s="865"/>
      <c r="BI17" s="865"/>
      <c r="BJ17" s="865"/>
      <c r="BK17" s="865"/>
      <c r="BL17" s="865"/>
      <c r="BM17" s="865"/>
      <c r="BN17" s="865"/>
      <c r="BO17" s="865"/>
      <c r="BP17" s="2"/>
    </row>
    <row r="18" spans="2:68" ht="16.5" customHeight="1" x14ac:dyDescent="0.25">
      <c r="B18" s="875" t="s">
        <v>4270</v>
      </c>
      <c r="C18" s="875"/>
      <c r="D18" s="875"/>
      <c r="E18" s="875"/>
      <c r="F18" s="875"/>
      <c r="G18" s="875"/>
      <c r="H18" s="875"/>
      <c r="I18" s="875"/>
      <c r="J18" s="875"/>
      <c r="K18" s="875"/>
      <c r="L18" s="875"/>
      <c r="M18" s="875"/>
      <c r="N18" s="875"/>
      <c r="O18" s="875"/>
      <c r="P18" s="875"/>
      <c r="Q18" s="875"/>
      <c r="R18" s="875"/>
      <c r="S18" s="875"/>
      <c r="T18" s="875"/>
      <c r="U18" s="875"/>
      <c r="V18" s="875"/>
      <c r="W18" s="875"/>
      <c r="X18" s="875"/>
      <c r="Y18" s="875"/>
      <c r="Z18" s="2"/>
      <c r="AA18" s="887" t="s">
        <v>4271</v>
      </c>
      <c r="AB18" s="887"/>
      <c r="AC18" s="887"/>
      <c r="AD18" s="887"/>
      <c r="AE18" s="887"/>
      <c r="AF18" s="887"/>
      <c r="AG18" s="887"/>
      <c r="AH18" s="887"/>
      <c r="AI18" s="887"/>
      <c r="AJ18" s="887"/>
      <c r="AK18" s="887"/>
      <c r="AL18" s="887"/>
      <c r="AM18" s="2"/>
      <c r="AN18" s="2"/>
      <c r="AO18" s="2"/>
      <c r="AP18" s="2"/>
      <c r="AQ18" s="2"/>
      <c r="AR18" s="2"/>
      <c r="AS18" s="2"/>
      <c r="AT18" s="2"/>
      <c r="AU18" s="2"/>
      <c r="AV18" s="2"/>
      <c r="AW18" s="2"/>
      <c r="AX18" s="2"/>
      <c r="AY18" s="2"/>
      <c r="AZ18" s="2"/>
      <c r="BA18" s="2"/>
      <c r="BB18" s="2"/>
      <c r="BC18" s="3"/>
      <c r="BD18" s="3"/>
      <c r="BE18" s="3"/>
      <c r="BF18" s="3"/>
      <c r="BG18" s="3"/>
      <c r="BH18" s="3"/>
      <c r="BI18" s="3"/>
      <c r="BJ18" s="3"/>
      <c r="BK18" s="3"/>
      <c r="BL18" s="3"/>
      <c r="BM18" s="3"/>
      <c r="BN18" s="3"/>
      <c r="BO18" s="3"/>
      <c r="BP18" s="2"/>
    </row>
    <row r="19" spans="2:68" ht="16.5" customHeight="1" x14ac:dyDescent="0.25">
      <c r="B19" s="875" t="s">
        <v>4272</v>
      </c>
      <c r="C19" s="875"/>
      <c r="D19" s="875"/>
      <c r="E19" s="875"/>
      <c r="F19" s="875"/>
      <c r="G19" s="875"/>
      <c r="H19" s="875"/>
      <c r="I19" s="875"/>
      <c r="J19" s="875"/>
      <c r="K19" s="875"/>
      <c r="L19" s="875"/>
      <c r="M19" s="875"/>
      <c r="N19" s="875"/>
      <c r="O19" s="875"/>
      <c r="P19" s="875"/>
      <c r="Q19" s="875"/>
      <c r="R19" s="875"/>
      <c r="S19" s="875"/>
      <c r="T19" s="875"/>
      <c r="U19" s="875"/>
      <c r="V19" s="875"/>
      <c r="W19" s="875"/>
      <c r="X19" s="875"/>
      <c r="Y19" s="875"/>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859" t="s">
        <v>4273</v>
      </c>
      <c r="BD19" s="860"/>
      <c r="BE19" s="860"/>
      <c r="BF19" s="860"/>
      <c r="BG19" s="860"/>
      <c r="BH19" s="860"/>
      <c r="BI19" s="860"/>
      <c r="BJ19" s="860"/>
      <c r="BK19" s="860"/>
      <c r="BL19" s="860"/>
      <c r="BM19" s="860"/>
      <c r="BN19" s="860"/>
      <c r="BO19" s="861"/>
      <c r="BP19" s="2"/>
    </row>
    <row r="20" spans="2:68" ht="16.5" customHeight="1" x14ac:dyDescent="0.25">
      <c r="B20" s="875" t="s">
        <v>4274</v>
      </c>
      <c r="C20" s="875"/>
      <c r="D20" s="875"/>
      <c r="E20" s="875"/>
      <c r="F20" s="875"/>
      <c r="G20" s="875"/>
      <c r="H20" s="875"/>
      <c r="I20" s="875"/>
      <c r="J20" s="875"/>
      <c r="K20" s="875"/>
      <c r="L20" s="875"/>
      <c r="M20" s="875"/>
      <c r="N20" s="875"/>
      <c r="O20" s="875"/>
      <c r="P20" s="875"/>
      <c r="Q20" s="875"/>
      <c r="R20" s="875"/>
      <c r="S20" s="875"/>
      <c r="T20" s="875"/>
      <c r="U20" s="875"/>
      <c r="V20" s="875"/>
      <c r="W20" s="875"/>
      <c r="X20" s="875"/>
      <c r="Y20" s="875"/>
      <c r="Z20" s="2"/>
      <c r="AA20" s="876" t="s">
        <v>4226</v>
      </c>
      <c r="AB20" s="876"/>
      <c r="AC20" s="876"/>
      <c r="AD20" s="876"/>
      <c r="AE20" s="876"/>
      <c r="AF20" s="876"/>
      <c r="AG20" s="876"/>
      <c r="AH20" s="876"/>
      <c r="AI20" s="876"/>
      <c r="AJ20" s="876"/>
      <c r="AK20" s="876"/>
      <c r="AL20" s="876"/>
      <c r="AM20" s="876"/>
      <c r="AN20" s="2"/>
      <c r="AO20" s="2"/>
      <c r="AP20" s="2"/>
      <c r="AQ20" s="2"/>
      <c r="AR20" s="2"/>
      <c r="AS20" s="2"/>
      <c r="AT20" s="2"/>
      <c r="AU20" s="2"/>
      <c r="AV20" s="2"/>
      <c r="AW20" s="2"/>
      <c r="AX20" s="2"/>
      <c r="AY20" s="2"/>
      <c r="AZ20" s="2"/>
      <c r="BA20" s="2"/>
      <c r="BB20" s="2"/>
      <c r="BC20" s="862"/>
      <c r="BD20" s="863"/>
      <c r="BE20" s="863"/>
      <c r="BF20" s="863"/>
      <c r="BG20" s="863"/>
      <c r="BH20" s="863"/>
      <c r="BI20" s="863"/>
      <c r="BJ20" s="863"/>
      <c r="BK20" s="863"/>
      <c r="BL20" s="863"/>
      <c r="BM20" s="863"/>
      <c r="BN20" s="863"/>
      <c r="BO20" s="864"/>
      <c r="BP20" s="2"/>
    </row>
    <row r="21" spans="2:68" ht="16.5" customHeight="1" x14ac:dyDescent="0.25">
      <c r="B21" s="875" t="s">
        <v>4275</v>
      </c>
      <c r="C21" s="875"/>
      <c r="D21" s="875"/>
      <c r="E21" s="875"/>
      <c r="F21" s="875"/>
      <c r="G21" s="875"/>
      <c r="H21" s="875"/>
      <c r="I21" s="875"/>
      <c r="J21" s="875"/>
      <c r="K21" s="875"/>
      <c r="L21" s="875"/>
      <c r="M21" s="875"/>
      <c r="N21" s="875"/>
      <c r="O21" s="875"/>
      <c r="P21" s="875"/>
      <c r="Q21" s="875"/>
      <c r="R21" s="875"/>
      <c r="S21" s="875"/>
      <c r="T21" s="875"/>
      <c r="U21" s="875"/>
      <c r="V21" s="875"/>
      <c r="W21" s="875"/>
      <c r="X21" s="875"/>
      <c r="Y21" s="875"/>
      <c r="Z21" s="2"/>
      <c r="AA21" s="876" t="s">
        <v>4276</v>
      </c>
      <c r="AB21" s="876"/>
      <c r="AC21" s="876"/>
      <c r="AD21" s="876"/>
      <c r="AE21" s="876"/>
      <c r="AF21" s="876"/>
      <c r="AG21" s="876"/>
      <c r="AH21" s="876"/>
      <c r="AI21" s="876"/>
      <c r="AJ21" s="876"/>
      <c r="AK21" s="876"/>
      <c r="AL21" s="876"/>
      <c r="AM21" s="876"/>
      <c r="AN21" s="2"/>
      <c r="AO21" s="2"/>
      <c r="AP21" s="2"/>
      <c r="AQ21" s="2"/>
      <c r="AR21" s="2"/>
      <c r="AS21" s="2"/>
      <c r="AT21" s="2"/>
      <c r="AU21" s="2"/>
      <c r="AV21" s="2"/>
      <c r="AW21" s="2"/>
      <c r="AX21" s="2"/>
      <c r="AY21" s="2"/>
      <c r="AZ21" s="2"/>
      <c r="BA21" s="2"/>
      <c r="BB21" s="2"/>
      <c r="BC21" s="865" t="s">
        <v>4277</v>
      </c>
      <c r="BD21" s="865"/>
      <c r="BE21" s="865"/>
      <c r="BF21" s="865"/>
      <c r="BG21" s="865"/>
      <c r="BH21" s="865"/>
      <c r="BI21" s="865"/>
      <c r="BJ21" s="865"/>
      <c r="BK21" s="865"/>
      <c r="BL21" s="865"/>
      <c r="BM21" s="865"/>
      <c r="BN21" s="865"/>
      <c r="BO21" s="865"/>
      <c r="BP21" s="2"/>
    </row>
    <row r="22" spans="2:68" ht="16.5" customHeight="1" x14ac:dyDescent="0.25">
      <c r="B22" s="875" t="s">
        <v>4278</v>
      </c>
      <c r="C22" s="875"/>
      <c r="D22" s="875"/>
      <c r="E22" s="875"/>
      <c r="F22" s="875"/>
      <c r="G22" s="875"/>
      <c r="H22" s="875"/>
      <c r="I22" s="875"/>
      <c r="J22" s="875"/>
      <c r="K22" s="875"/>
      <c r="L22" s="875"/>
      <c r="M22" s="875"/>
      <c r="N22" s="875"/>
      <c r="O22" s="875"/>
      <c r="P22" s="875"/>
      <c r="Q22" s="875"/>
      <c r="R22" s="875"/>
      <c r="S22" s="875"/>
      <c r="T22" s="875"/>
      <c r="U22" s="875"/>
      <c r="V22" s="875"/>
      <c r="W22" s="875"/>
      <c r="X22" s="875"/>
      <c r="Y22" s="875"/>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865"/>
      <c r="BD22" s="865"/>
      <c r="BE22" s="865"/>
      <c r="BF22" s="865"/>
      <c r="BG22" s="865"/>
      <c r="BH22" s="865"/>
      <c r="BI22" s="865"/>
      <c r="BJ22" s="865"/>
      <c r="BK22" s="865"/>
      <c r="BL22" s="865"/>
      <c r="BM22" s="865"/>
      <c r="BN22" s="865"/>
      <c r="BO22" s="865"/>
      <c r="BP22" s="2"/>
    </row>
    <row r="23" spans="2:68" ht="16.5" customHeight="1" x14ac:dyDescent="0.25">
      <c r="B23" s="884" t="s">
        <v>4279</v>
      </c>
      <c r="C23" s="885"/>
      <c r="D23" s="885"/>
      <c r="E23" s="885"/>
      <c r="F23" s="885"/>
      <c r="G23" s="885"/>
      <c r="H23" s="885"/>
      <c r="I23" s="885"/>
      <c r="J23" s="885"/>
      <c r="K23" s="885"/>
      <c r="L23" s="885"/>
      <c r="M23" s="885"/>
      <c r="N23" s="885"/>
      <c r="O23" s="885"/>
      <c r="P23" s="885"/>
      <c r="Q23" s="885"/>
      <c r="R23" s="885"/>
      <c r="S23" s="885"/>
      <c r="T23" s="885"/>
      <c r="U23" s="885"/>
      <c r="V23" s="885"/>
      <c r="W23" s="885"/>
      <c r="X23" s="885"/>
      <c r="Y23" s="886"/>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4" t="s">
        <v>4280</v>
      </c>
      <c r="BD23" s="2"/>
      <c r="BE23" s="2"/>
      <c r="BF23" s="2"/>
      <c r="BG23" s="2"/>
      <c r="BH23" s="2"/>
      <c r="BI23" s="2"/>
      <c r="BJ23" s="2"/>
      <c r="BK23" s="2"/>
      <c r="BL23" s="2"/>
      <c r="BM23" s="2"/>
      <c r="BN23" s="2"/>
      <c r="BO23" s="2"/>
      <c r="BP23" s="2"/>
    </row>
    <row r="24" spans="2:68" ht="16.5" customHeight="1" x14ac:dyDescent="0.25">
      <c r="B24" s="875" t="s">
        <v>4281</v>
      </c>
      <c r="C24" s="875"/>
      <c r="D24" s="875"/>
      <c r="E24" s="875"/>
      <c r="F24" s="875"/>
      <c r="G24" s="875"/>
      <c r="H24" s="875"/>
      <c r="I24" s="875"/>
      <c r="J24" s="875"/>
      <c r="K24" s="875"/>
      <c r="L24" s="875"/>
      <c r="M24" s="875"/>
      <c r="N24" s="875"/>
      <c r="O24" s="875"/>
      <c r="P24" s="875"/>
      <c r="Q24" s="875"/>
      <c r="R24" s="875"/>
      <c r="S24" s="875"/>
      <c r="T24" s="875"/>
      <c r="U24" s="875"/>
      <c r="V24" s="875"/>
      <c r="W24" s="875"/>
      <c r="X24" s="875"/>
      <c r="Y24" s="875"/>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866" t="s">
        <v>4282</v>
      </c>
      <c r="BD24" s="866"/>
      <c r="BE24" s="866"/>
      <c r="BF24" s="866"/>
      <c r="BG24" s="866"/>
      <c r="BH24" s="866"/>
      <c r="BI24" s="866"/>
      <c r="BJ24" s="866"/>
      <c r="BK24" s="866"/>
      <c r="BL24" s="866"/>
      <c r="BM24" s="866"/>
      <c r="BN24" s="866"/>
      <c r="BO24" s="866"/>
      <c r="BP24" s="4" t="s">
        <v>4283</v>
      </c>
    </row>
    <row r="25" spans="2:68" ht="16.5" customHeight="1" x14ac:dyDescent="0.25">
      <c r="B25" s="875" t="s">
        <v>4284</v>
      </c>
      <c r="C25" s="875"/>
      <c r="D25" s="875"/>
      <c r="E25" s="875"/>
      <c r="F25" s="875"/>
      <c r="G25" s="875"/>
      <c r="H25" s="875"/>
      <c r="I25" s="875"/>
      <c r="J25" s="875"/>
      <c r="K25" s="875"/>
      <c r="L25" s="875"/>
      <c r="M25" s="875"/>
      <c r="N25" s="875"/>
      <c r="O25" s="875"/>
      <c r="P25" s="875"/>
      <c r="Q25" s="875"/>
      <c r="R25" s="875"/>
      <c r="S25" s="875"/>
      <c r="T25" s="875"/>
      <c r="U25" s="875"/>
      <c r="V25" s="875"/>
      <c r="W25" s="875"/>
      <c r="X25" s="875"/>
      <c r="Y25" s="875"/>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866"/>
      <c r="BD25" s="866"/>
      <c r="BE25" s="866"/>
      <c r="BF25" s="866"/>
      <c r="BG25" s="866"/>
      <c r="BH25" s="866"/>
      <c r="BI25" s="866"/>
      <c r="BJ25" s="866"/>
      <c r="BK25" s="866"/>
      <c r="BL25" s="866"/>
      <c r="BM25" s="866"/>
      <c r="BN25" s="866"/>
      <c r="BO25" s="866"/>
      <c r="BP25" s="2"/>
    </row>
    <row r="26" spans="2:68" ht="16.5" customHeight="1" x14ac:dyDescent="0.25">
      <c r="B26" s="875" t="s">
        <v>4285</v>
      </c>
      <c r="C26" s="875"/>
      <c r="D26" s="875"/>
      <c r="E26" s="875"/>
      <c r="F26" s="875"/>
      <c r="G26" s="875"/>
      <c r="H26" s="875"/>
      <c r="I26" s="875"/>
      <c r="J26" s="875"/>
      <c r="K26" s="875"/>
      <c r="L26" s="875"/>
      <c r="M26" s="875"/>
      <c r="N26" s="875"/>
      <c r="O26" s="875"/>
      <c r="P26" s="875"/>
      <c r="Q26" s="875"/>
      <c r="R26" s="875"/>
      <c r="S26" s="875"/>
      <c r="T26" s="875"/>
      <c r="U26" s="875"/>
      <c r="V26" s="875"/>
      <c r="W26" s="875"/>
      <c r="X26" s="875"/>
      <c r="Y26" s="875"/>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866"/>
      <c r="BD26" s="866"/>
      <c r="BE26" s="866"/>
      <c r="BF26" s="866"/>
      <c r="BG26" s="866"/>
      <c r="BH26" s="866"/>
      <c r="BI26" s="866"/>
      <c r="BJ26" s="866"/>
      <c r="BK26" s="866"/>
      <c r="BL26" s="866"/>
      <c r="BM26" s="866"/>
      <c r="BN26" s="866"/>
      <c r="BO26" s="866"/>
      <c r="BP26" s="2"/>
    </row>
    <row r="27" spans="2:68" ht="16.5" customHeight="1" x14ac:dyDescent="0.25">
      <c r="B27" s="875" t="s">
        <v>4286</v>
      </c>
      <c r="C27" s="875"/>
      <c r="D27" s="875"/>
      <c r="E27" s="875"/>
      <c r="F27" s="875"/>
      <c r="G27" s="875"/>
      <c r="H27" s="875"/>
      <c r="I27" s="875"/>
      <c r="J27" s="875"/>
      <c r="K27" s="875"/>
      <c r="L27" s="875"/>
      <c r="M27" s="875"/>
      <c r="N27" s="875"/>
      <c r="O27" s="875"/>
      <c r="P27" s="875"/>
      <c r="Q27" s="875"/>
      <c r="R27" s="875"/>
      <c r="S27" s="875"/>
      <c r="T27" s="875"/>
      <c r="U27" s="875"/>
      <c r="V27" s="875"/>
      <c r="W27" s="875"/>
      <c r="X27" s="875"/>
      <c r="Y27" s="875"/>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866"/>
      <c r="BD27" s="866"/>
      <c r="BE27" s="866"/>
      <c r="BF27" s="866"/>
      <c r="BG27" s="866"/>
      <c r="BH27" s="866"/>
      <c r="BI27" s="866"/>
      <c r="BJ27" s="866"/>
      <c r="BK27" s="866"/>
      <c r="BL27" s="866"/>
      <c r="BM27" s="866"/>
      <c r="BN27" s="866"/>
      <c r="BO27" s="866"/>
      <c r="BP27" s="2"/>
    </row>
    <row r="28" spans="2:68" ht="16.5" customHeight="1" x14ac:dyDescent="0.25">
      <c r="B28" s="875" t="s">
        <v>4287</v>
      </c>
      <c r="C28" s="875"/>
      <c r="D28" s="875"/>
      <c r="E28" s="875"/>
      <c r="F28" s="875"/>
      <c r="G28" s="875"/>
      <c r="H28" s="875"/>
      <c r="I28" s="875"/>
      <c r="J28" s="875"/>
      <c r="K28" s="875"/>
      <c r="L28" s="875"/>
      <c r="M28" s="875"/>
      <c r="N28" s="875"/>
      <c r="O28" s="875"/>
      <c r="P28" s="875"/>
      <c r="Q28" s="875"/>
      <c r="R28" s="875"/>
      <c r="S28" s="875"/>
      <c r="T28" s="875"/>
      <c r="U28" s="875"/>
      <c r="V28" s="875"/>
      <c r="W28" s="875"/>
      <c r="X28" s="875"/>
      <c r="Y28" s="875"/>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866"/>
      <c r="BD28" s="866"/>
      <c r="BE28" s="866"/>
      <c r="BF28" s="866"/>
      <c r="BG28" s="866"/>
      <c r="BH28" s="866"/>
      <c r="BI28" s="866"/>
      <c r="BJ28" s="866"/>
      <c r="BK28" s="866"/>
      <c r="BL28" s="866"/>
      <c r="BM28" s="866"/>
      <c r="BN28" s="866"/>
      <c r="BO28" s="866"/>
      <c r="BP28" s="2"/>
    </row>
    <row r="29" spans="2:68" ht="16.5" customHeight="1" x14ac:dyDescent="0.25">
      <c r="B29" s="875" t="s">
        <v>4288</v>
      </c>
      <c r="C29" s="875"/>
      <c r="D29" s="875"/>
      <c r="E29" s="875"/>
      <c r="F29" s="875"/>
      <c r="G29" s="875"/>
      <c r="H29" s="875"/>
      <c r="I29" s="875"/>
      <c r="J29" s="875"/>
      <c r="K29" s="875"/>
      <c r="L29" s="875"/>
      <c r="M29" s="875"/>
      <c r="N29" s="875"/>
      <c r="O29" s="875"/>
      <c r="P29" s="875"/>
      <c r="Q29" s="875"/>
      <c r="R29" s="875"/>
      <c r="S29" s="875"/>
      <c r="T29" s="875"/>
      <c r="U29" s="875"/>
      <c r="V29" s="875"/>
      <c r="W29" s="875"/>
      <c r="X29" s="875"/>
      <c r="Y29" s="875"/>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866"/>
      <c r="BD29" s="866"/>
      <c r="BE29" s="866"/>
      <c r="BF29" s="866"/>
      <c r="BG29" s="866"/>
      <c r="BH29" s="866"/>
      <c r="BI29" s="866"/>
      <c r="BJ29" s="866"/>
      <c r="BK29" s="866"/>
      <c r="BL29" s="866"/>
      <c r="BM29" s="866"/>
      <c r="BN29" s="866"/>
      <c r="BO29" s="866"/>
      <c r="BP29" s="2"/>
    </row>
    <row r="30" spans="2:68" ht="16.5" customHeight="1" x14ac:dyDescent="0.25">
      <c r="B30" s="875" t="s">
        <v>4289</v>
      </c>
      <c r="C30" s="875"/>
      <c r="D30" s="875"/>
      <c r="E30" s="875"/>
      <c r="F30" s="875"/>
      <c r="G30" s="875"/>
      <c r="H30" s="875"/>
      <c r="I30" s="875"/>
      <c r="J30" s="875"/>
      <c r="K30" s="875"/>
      <c r="L30" s="875"/>
      <c r="M30" s="875"/>
      <c r="N30" s="875"/>
      <c r="O30" s="875"/>
      <c r="P30" s="875"/>
      <c r="Q30" s="875"/>
      <c r="R30" s="875"/>
      <c r="S30" s="875"/>
      <c r="T30" s="875"/>
      <c r="U30" s="875"/>
      <c r="V30" s="875"/>
      <c r="W30" s="875"/>
      <c r="X30" s="875"/>
      <c r="Y30" s="875"/>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4" t="s">
        <v>4290</v>
      </c>
      <c r="BD30" s="2"/>
      <c r="BE30" s="2"/>
      <c r="BF30" s="2"/>
      <c r="BG30" s="2"/>
      <c r="BH30" s="2"/>
      <c r="BI30" s="2"/>
      <c r="BJ30" s="2"/>
      <c r="BK30" s="2"/>
      <c r="BL30" s="2"/>
      <c r="BM30" s="2"/>
      <c r="BN30" s="2"/>
      <c r="BO30" s="2"/>
      <c r="BP30" s="2"/>
    </row>
    <row r="31" spans="2:68" ht="16.5" customHeight="1" x14ac:dyDescent="0.25">
      <c r="B31" s="875" t="s">
        <v>4291</v>
      </c>
      <c r="C31" s="875"/>
      <c r="D31" s="875"/>
      <c r="E31" s="875"/>
      <c r="F31" s="875"/>
      <c r="G31" s="875"/>
      <c r="H31" s="875"/>
      <c r="I31" s="875"/>
      <c r="J31" s="875"/>
      <c r="K31" s="875"/>
      <c r="L31" s="875"/>
      <c r="M31" s="875"/>
      <c r="N31" s="875"/>
      <c r="O31" s="875"/>
      <c r="P31" s="875"/>
      <c r="Q31" s="875"/>
      <c r="R31" s="875"/>
      <c r="S31" s="875"/>
      <c r="T31" s="875"/>
      <c r="U31" s="875"/>
      <c r="V31" s="875"/>
      <c r="W31" s="875"/>
      <c r="X31" s="875"/>
      <c r="Y31" s="875"/>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row>
    <row r="32" spans="2:68" ht="16.5" customHeight="1" x14ac:dyDescent="0.25">
      <c r="B32" s="875" t="s">
        <v>4292</v>
      </c>
      <c r="C32" s="875"/>
      <c r="D32" s="875"/>
      <c r="E32" s="875"/>
      <c r="F32" s="875"/>
      <c r="G32" s="875"/>
      <c r="H32" s="875"/>
      <c r="I32" s="875"/>
      <c r="J32" s="875"/>
      <c r="K32" s="875"/>
      <c r="L32" s="875"/>
      <c r="M32" s="875"/>
      <c r="N32" s="875"/>
      <c r="O32" s="875"/>
      <c r="P32" s="875"/>
      <c r="Q32" s="875"/>
      <c r="R32" s="875"/>
      <c r="S32" s="875"/>
      <c r="T32" s="875"/>
      <c r="U32" s="875"/>
      <c r="V32" s="875"/>
      <c r="W32" s="875"/>
      <c r="X32" s="875"/>
      <c r="Y32" s="875"/>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row>
    <row r="33" spans="2:68" ht="16.5" customHeight="1" x14ac:dyDescent="0.25">
      <c r="B33" s="875" t="s">
        <v>4293</v>
      </c>
      <c r="C33" s="875"/>
      <c r="D33" s="875"/>
      <c r="E33" s="875"/>
      <c r="F33" s="875"/>
      <c r="G33" s="875"/>
      <c r="H33" s="875"/>
      <c r="I33" s="875"/>
      <c r="J33" s="875"/>
      <c r="K33" s="875"/>
      <c r="L33" s="875"/>
      <c r="M33" s="875"/>
      <c r="N33" s="875"/>
      <c r="O33" s="875"/>
      <c r="P33" s="875"/>
      <c r="Q33" s="875"/>
      <c r="R33" s="875"/>
      <c r="S33" s="875"/>
      <c r="T33" s="875"/>
      <c r="U33" s="875"/>
      <c r="V33" s="875"/>
      <c r="W33" s="875"/>
      <c r="X33" s="875"/>
      <c r="Y33" s="875"/>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row>
    <row r="34" spans="2:68" ht="16.5" customHeight="1" x14ac:dyDescent="0.25">
      <c r="B34" s="867" t="s">
        <v>4294</v>
      </c>
      <c r="C34" s="868"/>
      <c r="D34" s="868"/>
      <c r="E34" s="868"/>
      <c r="F34" s="868"/>
      <c r="G34" s="868"/>
      <c r="H34" s="868"/>
      <c r="I34" s="868"/>
      <c r="J34" s="868"/>
      <c r="K34" s="868"/>
      <c r="L34" s="868"/>
      <c r="M34" s="868"/>
      <c r="N34" s="868"/>
      <c r="O34" s="868"/>
      <c r="P34" s="868"/>
      <c r="Q34" s="868"/>
      <c r="R34" s="868"/>
      <c r="S34" s="868"/>
      <c r="T34" s="868"/>
      <c r="U34" s="868"/>
      <c r="V34" s="868"/>
      <c r="W34" s="868"/>
      <c r="X34" s="868"/>
      <c r="Y34" s="869"/>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row>
    <row r="35" spans="2:68" ht="16.5" customHeight="1" x14ac:dyDescent="0.25">
      <c r="B35" s="870"/>
      <c r="C35" s="871"/>
      <c r="D35" s="871"/>
      <c r="E35" s="871"/>
      <c r="F35" s="871"/>
      <c r="G35" s="871"/>
      <c r="H35" s="871"/>
      <c r="I35" s="871"/>
      <c r="J35" s="871"/>
      <c r="K35" s="871"/>
      <c r="L35" s="871"/>
      <c r="M35" s="871"/>
      <c r="N35" s="871"/>
      <c r="O35" s="871"/>
      <c r="P35" s="871"/>
      <c r="Q35" s="871"/>
      <c r="R35" s="871"/>
      <c r="S35" s="871"/>
      <c r="T35" s="871"/>
      <c r="U35" s="871"/>
      <c r="V35" s="871"/>
      <c r="W35" s="871"/>
      <c r="X35" s="871"/>
      <c r="Y35" s="87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row>
    <row r="36" spans="2:68" ht="16.5" customHeight="1" x14ac:dyDescent="0.25">
      <c r="B36" s="875" t="s">
        <v>4295</v>
      </c>
      <c r="C36" s="875"/>
      <c r="D36" s="875"/>
      <c r="E36" s="875"/>
      <c r="F36" s="875"/>
      <c r="G36" s="875"/>
      <c r="H36" s="875"/>
      <c r="I36" s="875"/>
      <c r="J36" s="875"/>
      <c r="K36" s="875"/>
      <c r="L36" s="875"/>
      <c r="M36" s="875"/>
      <c r="N36" s="875"/>
      <c r="O36" s="875"/>
      <c r="P36" s="875"/>
      <c r="Q36" s="875"/>
      <c r="R36" s="875"/>
      <c r="S36" s="875"/>
      <c r="T36" s="875"/>
      <c r="U36" s="875"/>
      <c r="V36" s="875"/>
      <c r="W36" s="875"/>
      <c r="X36" s="875"/>
      <c r="Y36" s="875"/>
    </row>
    <row r="37" spans="2:68" ht="16.5" customHeight="1" x14ac:dyDescent="0.25">
      <c r="B37" s="875" t="s">
        <v>4296</v>
      </c>
      <c r="C37" s="875"/>
      <c r="D37" s="875"/>
      <c r="E37" s="875"/>
      <c r="F37" s="875"/>
      <c r="G37" s="875"/>
      <c r="H37" s="875"/>
      <c r="I37" s="875"/>
      <c r="J37" s="875"/>
      <c r="K37" s="875"/>
      <c r="L37" s="875"/>
      <c r="M37" s="875"/>
      <c r="N37" s="875"/>
      <c r="O37" s="875"/>
      <c r="P37" s="875"/>
      <c r="Q37" s="875"/>
      <c r="R37" s="875"/>
      <c r="S37" s="875"/>
      <c r="T37" s="875"/>
      <c r="U37" s="875"/>
      <c r="V37" s="875"/>
      <c r="W37" s="875"/>
      <c r="X37" s="875"/>
      <c r="Y37" s="875"/>
    </row>
    <row r="38" spans="2:68" ht="16.5" customHeight="1" x14ac:dyDescent="0.25">
      <c r="B38" s="875" t="s">
        <v>4297</v>
      </c>
      <c r="C38" s="875"/>
      <c r="D38" s="875"/>
      <c r="E38" s="875"/>
      <c r="F38" s="875"/>
      <c r="G38" s="875"/>
      <c r="H38" s="875"/>
      <c r="I38" s="875"/>
      <c r="J38" s="875"/>
      <c r="K38" s="875"/>
      <c r="L38" s="875"/>
      <c r="M38" s="875"/>
      <c r="N38" s="875"/>
      <c r="O38" s="875"/>
      <c r="P38" s="875"/>
      <c r="Q38" s="875"/>
      <c r="R38" s="875"/>
      <c r="S38" s="875"/>
      <c r="T38" s="875"/>
      <c r="U38" s="875"/>
      <c r="V38" s="875"/>
      <c r="W38" s="875"/>
      <c r="X38" s="875"/>
      <c r="Y38" s="875"/>
    </row>
  </sheetData>
  <sheetProtection password="E607" sheet="1" objects="1"/>
  <mergeCells count="80">
    <mergeCell ref="B2:Y2"/>
    <mergeCell ref="AA2:AM2"/>
    <mergeCell ref="AO2:BA2"/>
    <mergeCell ref="BC2:BO2"/>
    <mergeCell ref="AA3:AM3"/>
    <mergeCell ref="AQ3:BA3"/>
    <mergeCell ref="BC3:BO3"/>
    <mergeCell ref="AA4:AM4"/>
    <mergeCell ref="AQ4:BA4"/>
    <mergeCell ref="B5:Y5"/>
    <mergeCell ref="AA5:AM5"/>
    <mergeCell ref="B6:Y6"/>
    <mergeCell ref="AA6:AM6"/>
    <mergeCell ref="AQ6:BA6"/>
    <mergeCell ref="B7:Y7"/>
    <mergeCell ref="AA7:AM7"/>
    <mergeCell ref="AQ7:BA7"/>
    <mergeCell ref="BC7:BO7"/>
    <mergeCell ref="B8:Y8"/>
    <mergeCell ref="AA8:AM8"/>
    <mergeCell ref="B9:Y9"/>
    <mergeCell ref="AA9:AM9"/>
    <mergeCell ref="AQ9:BA9"/>
    <mergeCell ref="B10:Y10"/>
    <mergeCell ref="AA10:AM10"/>
    <mergeCell ref="AQ10:BA10"/>
    <mergeCell ref="B11:Y11"/>
    <mergeCell ref="AA11:AM11"/>
    <mergeCell ref="BC11:BO11"/>
    <mergeCell ref="B12:Y12"/>
    <mergeCell ref="AA12:AM12"/>
    <mergeCell ref="AQ12:BA12"/>
    <mergeCell ref="B13:Y13"/>
    <mergeCell ref="AA13:AM13"/>
    <mergeCell ref="AQ13:BA13"/>
    <mergeCell ref="B14:Y14"/>
    <mergeCell ref="AQ14:BA14"/>
    <mergeCell ref="BC15:BO15"/>
    <mergeCell ref="B16:Y16"/>
    <mergeCell ref="AA16:AM16"/>
    <mergeCell ref="BC16:BO17"/>
    <mergeCell ref="B17:Y17"/>
    <mergeCell ref="AA17:AM17"/>
    <mergeCell ref="B19:Y19"/>
    <mergeCell ref="B36:Y36"/>
    <mergeCell ref="B37:Y37"/>
    <mergeCell ref="B15:Y15"/>
    <mergeCell ref="AQ15:BA15"/>
    <mergeCell ref="B38:Y38"/>
    <mergeCell ref="AO3:AP4"/>
    <mergeCell ref="AO14:AP15"/>
    <mergeCell ref="B3:Y4"/>
    <mergeCell ref="B28:Y28"/>
    <mergeCell ref="B29:Y29"/>
    <mergeCell ref="B30:Y30"/>
    <mergeCell ref="B31:Y31"/>
    <mergeCell ref="B32:Y32"/>
    <mergeCell ref="B23:Y23"/>
    <mergeCell ref="B24:Y24"/>
    <mergeCell ref="B25:Y25"/>
    <mergeCell ref="B26:Y26"/>
    <mergeCell ref="B27:Y27"/>
    <mergeCell ref="B18:Y18"/>
    <mergeCell ref="AA18:AL18"/>
    <mergeCell ref="BC19:BO20"/>
    <mergeCell ref="BC21:BO22"/>
    <mergeCell ref="BC24:BO29"/>
    <mergeCell ref="B34:Y35"/>
    <mergeCell ref="BC4:BO5"/>
    <mergeCell ref="AO6:AP7"/>
    <mergeCell ref="BC8:BO9"/>
    <mergeCell ref="AO9:AP10"/>
    <mergeCell ref="AO12:AP13"/>
    <mergeCell ref="BC12:BO13"/>
    <mergeCell ref="B33:Y33"/>
    <mergeCell ref="B20:Y20"/>
    <mergeCell ref="AA20:AM20"/>
    <mergeCell ref="B21:Y21"/>
    <mergeCell ref="AA21:AM21"/>
    <mergeCell ref="B22:Y22"/>
  </mergeCells>
  <phoneticPr fontId="86" type="noConversion"/>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249977111117893"/>
    <pageSetUpPr fitToPage="1"/>
  </sheetPr>
  <dimension ref="A1:CO125"/>
  <sheetViews>
    <sheetView showGridLines="0" tabSelected="1" zoomScale="85" zoomScaleNormal="85" workbookViewId="0">
      <selection activeCell="K13" sqref="K13:L13"/>
    </sheetView>
  </sheetViews>
  <sheetFormatPr defaultColWidth="2.33203125" defaultRowHeight="16.649999999999999" customHeight="1" x14ac:dyDescent="0.25"/>
  <cols>
    <col min="1" max="1" width="2.33203125" style="14"/>
    <col min="2" max="2" width="2.33203125" style="14" customWidth="1"/>
    <col min="3" max="18" width="2.33203125" style="14"/>
    <col min="19" max="19" width="2.33203125" style="14" customWidth="1"/>
    <col min="20" max="62" width="2.33203125" style="14"/>
    <col min="63" max="63" width="2.33203125" style="14" customWidth="1"/>
    <col min="64" max="70" width="2.33203125" style="14"/>
    <col min="71" max="71" width="2.33203125" style="14" customWidth="1"/>
    <col min="72" max="72" width="2.33203125" style="272" customWidth="1"/>
    <col min="73" max="78" width="2.33203125" style="272"/>
    <col min="79" max="79" width="2.33203125" style="272" customWidth="1"/>
    <col min="80" max="86" width="2.33203125" style="272"/>
    <col min="87" max="88" width="2.33203125" style="272" customWidth="1"/>
    <col min="89" max="16384" width="2.33203125" style="272"/>
  </cols>
  <sheetData>
    <row r="1" spans="1:93" ht="16.649999999999999" customHeight="1" x14ac:dyDescent="0.25">
      <c r="A1" s="466" t="s">
        <v>23</v>
      </c>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c r="AP1" s="466"/>
      <c r="AQ1" s="466"/>
      <c r="AR1" s="466"/>
      <c r="AS1" s="466"/>
      <c r="AT1" s="466"/>
      <c r="AU1" s="466"/>
      <c r="AV1" s="10" t="str">
        <f>".dst"&amp;" 力量"&amp;IF(B13="O","*","")&amp;":"&amp;F13&amp;" 敏捷"&amp;IF(B14="O","*","")&amp;":"&amp;F14&amp;" 体质"&amp;IF(B15="O","*","")&amp;":"&amp;F15&amp;" 智力"&amp;IF(B16="O","*","")&amp;":"&amp;F16&amp;" 感知"&amp;IF(B17="O","*","")&amp;":"&amp;F17&amp;" 魅力"&amp;IF(B18="O","*","")&amp;":"&amp;F18&amp;" hp"&amp;":"&amp;M22&amp;" hpmax"&amp;":"&amp;Q22&amp;" 先攻"&amp;":"&amp;D22&amp;" ac"&amp;":"&amp;D23&amp;" dc"&amp;":"&amp;D25&amp;" pp"&amp;":"&amp;F27&amp;" 熟练"&amp;":"&amp;S3&amp;" 运动"&amp;IF(B31="O","*",IF(B31="🅞","*2",IF(J29="是","*0.5","")))&amp;":"&amp;IF(F31="",0,F31)&amp;" 特技"&amp;IF(B33="O","*",IF(B33="🅞","*2",IF(J29="是","*0.5","")))&amp;":"&amp;IF(F33="",0,F33)&amp;" 巧手"&amp;IF(B34="O","*",IF(B34="🅞","*2",IF(J29="是","*0.5","")))&amp;":"&amp;IF(F34="",0,F34)&amp;" 隐匿"&amp;IF(B35="O","*",IF(B35="🅞","*2",IF(J29="是","*0.5","")))&amp;":"&amp;IF(F35="",0,F35)&amp;" 调查"&amp;IF(B37="O","*",IF(B37="🅞","*2",IF(J29="是","*0.5","")))&amp;":"&amp;IF(F37="",0,F37)&amp;" 奥秘"&amp;IF(B38="O","*",IF(B38="🅞","*2",IF(J29="是","*0.5","")))&amp;":"&amp;IF(F38="",0,F38)&amp;" 历史"&amp;IF(B39="O","*",IF(B39="🅞","*2",IF(J29="是","*0.5","")))&amp;":"&amp;IF(F39="",0,F39)&amp;" 自然"&amp;IF(B40="O","*",IF(B40="🅞","*2",IF(J29="是","*0.5","")))&amp;":"&amp;IF(F40="",0,F40)&amp;" 宗教"&amp;IF(B41="O","*",IF(B41="🅞","*2",IF(J29="是","*0.5","")))&amp;":"&amp;IF(F41="",0,F41)&amp;" 察觉"&amp;IF(B43="O","*",IF(B43="🅞","*2",IF(J29="是","*0.5","")))&amp;":"&amp;IF(F43="",0,F43)&amp;" 洞悉"&amp;IF(B44="O","*",IF(B44="🅞","*2",IF(J29="是","*0.5","")))&amp;":"&amp;IF(F44="",0,F44)&amp;" 驯兽"&amp;IF(B45="O","*",IF(B45="🅞","*2",IF(J29="是","*0.5","")))&amp;":"&amp;IF(F45="",0,F45)&amp;" 医疗"&amp;IF(B46="O","*",IF(B46="🅞","*2",IF(J29="是","*0.5","")))&amp;":"&amp;IF(F46="",0,F46)&amp;" 求生"&amp;IF(B47="O","*",IF(B47="🅞","*2",IF(J29="是","*0.5","")))&amp;":"&amp;IF(F47="",0,F47)&amp;" 游说"&amp;IF(B49="O","*",IF(B49="🅞","*2",IF(J29="是","*0.5","")))&amp;":"&amp;IF(F49="",0,F49)&amp;" 欺诈"&amp;IF(B50="O","*",IF(B50="🅞","*2",IF(J29="是","*0.5","")))&amp;":"&amp;IF(F50="",0,F50)&amp;" 威吓"&amp;IF(B51="O","*",IF(B51="🅞","*2",IF(J29="是","*0.5","")))&amp;":"&amp;IF(F51="",0,F51)&amp;" 表演"&amp;IF(B52="O","*",IF(B52="🅞","*2",IF(J29="是","*0.5","")))&amp;":"&amp;IF(F52="",0,F52)</f>
        <v>.dst 力量:10 敏捷:10 体质:10 智力:10 感知:10 魅力:10 hp:0 hpmax:0 先攻:0 ac:10 dc:10 pp:10 熟练:2 运动:0 特技:0 巧手:0 隐匿:0 调查:0 奥秘:0 历史:0 自然:0 宗教:0 察觉:0 洞悉:0 驯兽:0 医疗:0 求生:0 游说:0 欺诈:0 威吓:0 表演:0</v>
      </c>
      <c r="AW1" s="466" t="s">
        <v>24</v>
      </c>
      <c r="AX1" s="466"/>
      <c r="AY1" s="466"/>
      <c r="AZ1" s="466"/>
      <c r="BA1" s="466"/>
      <c r="BB1" s="466"/>
      <c r="BC1" s="466"/>
      <c r="BD1" s="466"/>
      <c r="BE1" s="466"/>
      <c r="BF1" s="466"/>
      <c r="BG1" s="466"/>
      <c r="BH1" s="466"/>
      <c r="BI1" s="466"/>
      <c r="BJ1" s="466"/>
      <c r="BK1" s="466"/>
      <c r="BL1" s="571" t="s">
        <v>25</v>
      </c>
      <c r="BM1" s="571"/>
      <c r="BN1" s="571"/>
      <c r="BO1" s="571"/>
      <c r="BP1" s="571"/>
      <c r="BQ1" s="571"/>
      <c r="BR1" s="288" t="s">
        <v>26</v>
      </c>
      <c r="BT1" s="466" t="s">
        <v>27</v>
      </c>
      <c r="BU1" s="466"/>
      <c r="BV1" s="466"/>
      <c r="BW1" s="466"/>
      <c r="BX1" s="466"/>
      <c r="BY1" s="466"/>
      <c r="BZ1" s="466"/>
      <c r="CA1" s="466"/>
      <c r="CB1" s="466"/>
      <c r="CC1" s="466"/>
      <c r="CD1" s="466"/>
      <c r="CE1" s="466"/>
      <c r="CF1" s="466"/>
      <c r="CG1" s="466"/>
      <c r="CH1" s="466"/>
      <c r="CI1" s="466"/>
      <c r="CJ1" s="466"/>
      <c r="CK1" s="466"/>
      <c r="CL1" s="466"/>
      <c r="CM1" s="466"/>
      <c r="CN1" s="466"/>
      <c r="CO1" s="466"/>
    </row>
    <row r="2" spans="1:93" ht="16.649999999999999" customHeight="1" x14ac:dyDescent="0.35">
      <c r="AX2" s="462" t="s">
        <v>28</v>
      </c>
      <c r="AY2" s="462"/>
      <c r="AZ2" s="462" t="s">
        <v>29</v>
      </c>
      <c r="BA2" s="462"/>
      <c r="BB2" s="462" t="s">
        <v>30</v>
      </c>
      <c r="BC2" s="462"/>
      <c r="BD2" s="462" t="s">
        <v>31</v>
      </c>
      <c r="BE2" s="462"/>
      <c r="BF2" s="462" t="s">
        <v>32</v>
      </c>
      <c r="BG2" s="462"/>
      <c r="BH2" s="462" t="s">
        <v>33</v>
      </c>
      <c r="BI2" s="462"/>
      <c r="BJ2" s="462" t="s">
        <v>34</v>
      </c>
      <c r="BK2" s="462"/>
      <c r="BL2" s="462" t="s">
        <v>35</v>
      </c>
      <c r="BM2" s="462"/>
      <c r="BN2" s="462" t="s">
        <v>36</v>
      </c>
      <c r="BO2" s="462"/>
      <c r="BP2" s="462" t="s">
        <v>37</v>
      </c>
      <c r="BQ2" s="462"/>
      <c r="BT2" s="462" t="s">
        <v>38</v>
      </c>
      <c r="BU2" s="462"/>
      <c r="BV2" s="462"/>
      <c r="BW2" s="462"/>
      <c r="BX2" s="462"/>
      <c r="BY2" s="462"/>
      <c r="BZ2" s="462" t="s">
        <v>39</v>
      </c>
      <c r="CA2" s="462"/>
      <c r="CB2" s="462"/>
      <c r="CC2" s="462"/>
      <c r="CD2" s="462"/>
      <c r="CE2" s="462"/>
      <c r="CF2" s="462"/>
      <c r="CG2" s="462"/>
      <c r="CH2" s="462"/>
      <c r="CI2" s="462"/>
      <c r="CJ2" s="462"/>
      <c r="CK2" s="462"/>
      <c r="CL2" s="462"/>
      <c r="CM2" s="462"/>
      <c r="CN2" s="462"/>
      <c r="CO2" s="462"/>
    </row>
    <row r="3" spans="1:93" ht="16.649999999999999" customHeight="1" x14ac:dyDescent="0.35">
      <c r="B3" s="380" t="s">
        <v>1</v>
      </c>
      <c r="C3" s="380"/>
      <c r="D3" s="380"/>
      <c r="E3" s="387" t="s">
        <v>4415</v>
      </c>
      <c r="F3" s="388"/>
      <c r="G3" s="388"/>
      <c r="H3" s="388"/>
      <c r="I3" s="388"/>
      <c r="J3" s="388"/>
      <c r="K3" s="388"/>
      <c r="L3" s="388"/>
      <c r="M3" s="388"/>
      <c r="N3" s="389"/>
      <c r="Q3" s="418" t="s">
        <v>40</v>
      </c>
      <c r="R3" s="419"/>
      <c r="S3" s="422">
        <f>IFERROR(VLOOKUP(SUM(O6,O7,O8),数据表!CG2:CH21,2,FALSE)+W4,"×")</f>
        <v>2</v>
      </c>
      <c r="T3" s="423"/>
      <c r="U3" s="424"/>
      <c r="W3" s="476" t="s">
        <v>41</v>
      </c>
      <c r="X3" s="476"/>
      <c r="AA3" s="432"/>
      <c r="AB3" s="433"/>
      <c r="AC3" s="433"/>
      <c r="AD3" s="433"/>
      <c r="AE3" s="433"/>
      <c r="AF3" s="433"/>
      <c r="AG3" s="433"/>
      <c r="AH3" s="433"/>
      <c r="AI3" s="433"/>
      <c r="AJ3" s="433"/>
      <c r="AK3" s="433"/>
      <c r="AL3" s="433"/>
      <c r="AM3" s="433"/>
      <c r="AN3" s="433"/>
      <c r="AO3" s="433"/>
      <c r="AP3" s="433"/>
      <c r="AQ3" s="433"/>
      <c r="AR3" s="433"/>
      <c r="AS3" s="433"/>
      <c r="AT3" s="434"/>
      <c r="AW3" s="415" t="s">
        <v>24</v>
      </c>
      <c r="AX3" s="379"/>
      <c r="AY3" s="379"/>
      <c r="AZ3" s="379"/>
      <c r="BA3" s="379"/>
      <c r="BB3" s="379"/>
      <c r="BC3" s="379"/>
      <c r="BD3" s="379"/>
      <c r="BE3" s="379"/>
      <c r="BF3" s="379"/>
      <c r="BG3" s="379"/>
      <c r="BH3" s="379"/>
      <c r="BI3" s="379"/>
      <c r="BJ3" s="379"/>
      <c r="BK3" s="379"/>
      <c r="BL3" s="379"/>
      <c r="BM3" s="379"/>
      <c r="BN3" s="379"/>
      <c r="BO3" s="379"/>
      <c r="BP3" s="379"/>
      <c r="BQ3" s="379"/>
      <c r="BT3" s="458"/>
      <c r="BU3" s="459"/>
      <c r="BV3" s="459"/>
      <c r="BW3" s="459"/>
      <c r="BX3" s="459"/>
      <c r="BY3" s="460"/>
      <c r="BZ3" s="461"/>
      <c r="CA3" s="461"/>
      <c r="CB3" s="461"/>
      <c r="CC3" s="461"/>
      <c r="CD3" s="461"/>
      <c r="CE3" s="461"/>
      <c r="CF3" s="461"/>
      <c r="CG3" s="461"/>
      <c r="CH3" s="461"/>
      <c r="CI3" s="461"/>
      <c r="CJ3" s="461"/>
      <c r="CK3" s="461"/>
      <c r="CL3" s="461"/>
      <c r="CM3" s="461"/>
      <c r="CN3" s="461"/>
      <c r="CO3" s="461"/>
    </row>
    <row r="4" spans="1:93" ht="16.649999999999999" customHeight="1" x14ac:dyDescent="0.35">
      <c r="B4" s="380" t="s">
        <v>4</v>
      </c>
      <c r="C4" s="380"/>
      <c r="D4" s="380"/>
      <c r="E4" s="387" t="s">
        <v>4416</v>
      </c>
      <c r="F4" s="388"/>
      <c r="G4" s="388"/>
      <c r="H4" s="388"/>
      <c r="I4" s="388"/>
      <c r="J4" s="388"/>
      <c r="K4" s="388"/>
      <c r="L4" s="388"/>
      <c r="M4" s="388"/>
      <c r="N4" s="389"/>
      <c r="Q4" s="420"/>
      <c r="R4" s="421"/>
      <c r="S4" s="425"/>
      <c r="T4" s="426"/>
      <c r="U4" s="427"/>
      <c r="V4" s="278" t="s">
        <v>42</v>
      </c>
      <c r="W4" s="387"/>
      <c r="X4" s="389"/>
      <c r="AA4" s="435"/>
      <c r="AB4" s="436"/>
      <c r="AC4" s="436"/>
      <c r="AD4" s="436"/>
      <c r="AE4" s="436"/>
      <c r="AF4" s="436"/>
      <c r="AG4" s="436"/>
      <c r="AH4" s="436"/>
      <c r="AI4" s="436"/>
      <c r="AJ4" s="436"/>
      <c r="AK4" s="436"/>
      <c r="AL4" s="436"/>
      <c r="AM4" s="436"/>
      <c r="AN4" s="436"/>
      <c r="AO4" s="436"/>
      <c r="AP4" s="436"/>
      <c r="AQ4" s="436"/>
      <c r="AR4" s="436"/>
      <c r="AS4" s="436"/>
      <c r="AT4" s="437"/>
      <c r="AW4" s="415"/>
      <c r="AX4" s="462" t="s">
        <v>43</v>
      </c>
      <c r="AY4" s="462"/>
      <c r="AZ4" s="462" t="s">
        <v>44</v>
      </c>
      <c r="BA4" s="462"/>
      <c r="BB4" s="462" t="s">
        <v>45</v>
      </c>
      <c r="BC4" s="462"/>
      <c r="BD4" s="462" t="s">
        <v>46</v>
      </c>
      <c r="BE4" s="462"/>
      <c r="BF4" s="462" t="s">
        <v>47</v>
      </c>
      <c r="BG4" s="462"/>
      <c r="BH4" s="462" t="s">
        <v>48</v>
      </c>
      <c r="BI4" s="462"/>
      <c r="BJ4" s="462" t="s">
        <v>49</v>
      </c>
      <c r="BK4" s="462"/>
      <c r="BL4" s="462" t="s">
        <v>50</v>
      </c>
      <c r="BM4" s="462"/>
      <c r="BN4" s="462" t="s">
        <v>51</v>
      </c>
      <c r="BO4" s="462"/>
      <c r="BP4" s="462" t="s">
        <v>52</v>
      </c>
      <c r="BQ4" s="462"/>
      <c r="BT4" s="463"/>
      <c r="BU4" s="464"/>
      <c r="BV4" s="464"/>
      <c r="BW4" s="464"/>
      <c r="BX4" s="464"/>
      <c r="BY4" s="465"/>
      <c r="BZ4" s="457"/>
      <c r="CA4" s="457"/>
      <c r="CB4" s="457"/>
      <c r="CC4" s="457"/>
      <c r="CD4" s="457"/>
      <c r="CE4" s="457"/>
      <c r="CF4" s="457"/>
      <c r="CG4" s="457"/>
      <c r="CH4" s="457"/>
      <c r="CI4" s="457"/>
      <c r="CJ4" s="457"/>
      <c r="CK4" s="457"/>
      <c r="CL4" s="457"/>
      <c r="CM4" s="457"/>
      <c r="CN4" s="457"/>
      <c r="CO4" s="457"/>
    </row>
    <row r="5" spans="1:93" ht="16.649999999999999" customHeight="1" x14ac:dyDescent="0.35">
      <c r="E5" s="476" t="s">
        <v>53</v>
      </c>
      <c r="F5" s="476"/>
      <c r="G5" s="476"/>
      <c r="H5" s="476"/>
      <c r="I5" s="476" t="s">
        <v>54</v>
      </c>
      <c r="J5" s="476"/>
      <c r="K5" s="476"/>
      <c r="L5" s="476"/>
      <c r="M5" s="476"/>
      <c r="N5" s="476"/>
      <c r="O5" s="462" t="s">
        <v>55</v>
      </c>
      <c r="P5" s="462"/>
      <c r="AA5" s="435"/>
      <c r="AB5" s="436"/>
      <c r="AC5" s="436"/>
      <c r="AD5" s="436"/>
      <c r="AE5" s="436"/>
      <c r="AF5" s="436"/>
      <c r="AG5" s="436"/>
      <c r="AH5" s="436"/>
      <c r="AI5" s="436"/>
      <c r="AJ5" s="436"/>
      <c r="AK5" s="436"/>
      <c r="AL5" s="436"/>
      <c r="AM5" s="436"/>
      <c r="AN5" s="436"/>
      <c r="AO5" s="436"/>
      <c r="AP5" s="436"/>
      <c r="AQ5" s="436"/>
      <c r="AR5" s="436"/>
      <c r="AS5" s="436"/>
      <c r="AT5" s="437"/>
      <c r="AW5" s="415"/>
      <c r="AX5" s="379"/>
      <c r="AY5" s="379"/>
      <c r="AZ5" s="379"/>
      <c r="BA5" s="379"/>
      <c r="BB5" s="379"/>
      <c r="BC5" s="379"/>
      <c r="BD5" s="379"/>
      <c r="BE5" s="379"/>
      <c r="BF5" s="379"/>
      <c r="BG5" s="379"/>
      <c r="BH5" s="379"/>
      <c r="BI5" s="379"/>
      <c r="BJ5" s="379"/>
      <c r="BK5" s="379"/>
      <c r="BL5" s="379"/>
      <c r="BM5" s="379"/>
      <c r="BN5" s="379"/>
      <c r="BO5" s="379"/>
      <c r="BP5" s="379"/>
      <c r="BQ5" s="379"/>
      <c r="BT5" s="458"/>
      <c r="BU5" s="459"/>
      <c r="BV5" s="459"/>
      <c r="BW5" s="459"/>
      <c r="BX5" s="459"/>
      <c r="BY5" s="460"/>
      <c r="BZ5" s="461"/>
      <c r="CA5" s="461"/>
      <c r="CB5" s="461"/>
      <c r="CC5" s="461"/>
      <c r="CD5" s="461"/>
      <c r="CE5" s="461"/>
      <c r="CF5" s="461"/>
      <c r="CG5" s="461"/>
      <c r="CH5" s="461"/>
      <c r="CI5" s="461"/>
      <c r="CJ5" s="461"/>
      <c r="CK5" s="461"/>
      <c r="CL5" s="461"/>
      <c r="CM5" s="461"/>
      <c r="CN5" s="461"/>
      <c r="CO5" s="461"/>
    </row>
    <row r="6" spans="1:93" ht="16.649999999999999" customHeight="1" x14ac:dyDescent="0.35">
      <c r="B6" s="380" t="s">
        <v>56</v>
      </c>
      <c r="C6" s="380"/>
      <c r="D6" s="380"/>
      <c r="E6" s="614"/>
      <c r="F6" s="615"/>
      <c r="G6" s="615"/>
      <c r="H6" s="616"/>
      <c r="I6" s="614"/>
      <c r="J6" s="615"/>
      <c r="K6" s="615"/>
      <c r="L6" s="615"/>
      <c r="M6" s="615"/>
      <c r="N6" s="616"/>
      <c r="O6" s="389">
        <v>1</v>
      </c>
      <c r="P6" s="379"/>
      <c r="R6" s="380" t="s">
        <v>57</v>
      </c>
      <c r="S6" s="380"/>
      <c r="T6" s="381"/>
      <c r="U6" s="381"/>
      <c r="V6" s="381"/>
      <c r="W6" s="381"/>
      <c r="X6" s="381"/>
      <c r="Y6" s="13"/>
      <c r="AA6" s="435"/>
      <c r="AB6" s="436"/>
      <c r="AC6" s="436"/>
      <c r="AD6" s="436"/>
      <c r="AE6" s="436"/>
      <c r="AF6" s="436"/>
      <c r="AG6" s="436"/>
      <c r="AH6" s="436"/>
      <c r="AI6" s="436"/>
      <c r="AJ6" s="436"/>
      <c r="AK6" s="436"/>
      <c r="AL6" s="436"/>
      <c r="AM6" s="436"/>
      <c r="AN6" s="436"/>
      <c r="AO6" s="436"/>
      <c r="AP6" s="436"/>
      <c r="AQ6" s="436"/>
      <c r="AR6" s="436"/>
      <c r="AS6" s="436"/>
      <c r="AT6" s="437"/>
      <c r="AU6" s="302"/>
      <c r="AW6" s="415"/>
      <c r="AX6" s="441" t="s">
        <v>58</v>
      </c>
      <c r="AY6" s="441"/>
      <c r="AZ6" s="441"/>
      <c r="BB6" s="441" t="s">
        <v>41</v>
      </c>
      <c r="BC6" s="441"/>
      <c r="BD6" s="441"/>
      <c r="BF6" s="441" t="s">
        <v>59</v>
      </c>
      <c r="BG6" s="441"/>
      <c r="BH6" s="441"/>
      <c r="BI6" s="415" t="s">
        <v>60</v>
      </c>
      <c r="BJ6" s="416"/>
      <c r="BK6" s="416"/>
      <c r="BL6" s="416"/>
      <c r="BM6" s="416"/>
      <c r="BN6" s="416"/>
      <c r="BO6" s="416"/>
      <c r="BP6" s="416"/>
      <c r="BQ6" s="416"/>
      <c r="BT6" s="463"/>
      <c r="BU6" s="464"/>
      <c r="BV6" s="464"/>
      <c r="BW6" s="464"/>
      <c r="BX6" s="464"/>
      <c r="BY6" s="465"/>
      <c r="BZ6" s="457"/>
      <c r="CA6" s="457"/>
      <c r="CB6" s="457"/>
      <c r="CC6" s="457"/>
      <c r="CD6" s="457"/>
      <c r="CE6" s="457"/>
      <c r="CF6" s="457"/>
      <c r="CG6" s="457"/>
      <c r="CH6" s="457"/>
      <c r="CI6" s="457"/>
      <c r="CJ6" s="457"/>
      <c r="CK6" s="457"/>
      <c r="CL6" s="457"/>
      <c r="CM6" s="457"/>
      <c r="CN6" s="457"/>
      <c r="CO6" s="457"/>
    </row>
    <row r="7" spans="1:93" ht="16.649999999999999" customHeight="1" x14ac:dyDescent="0.25">
      <c r="B7" s="382" t="s">
        <v>61</v>
      </c>
      <c r="C7" s="382"/>
      <c r="D7" s="382"/>
      <c r="E7" s="614"/>
      <c r="F7" s="615"/>
      <c r="G7" s="615"/>
      <c r="H7" s="616"/>
      <c r="I7" s="614"/>
      <c r="J7" s="615"/>
      <c r="K7" s="615"/>
      <c r="L7" s="615"/>
      <c r="M7" s="615"/>
      <c r="N7" s="616"/>
      <c r="O7" s="389"/>
      <c r="P7" s="379"/>
      <c r="R7" s="380" t="s">
        <v>62</v>
      </c>
      <c r="S7" s="380"/>
      <c r="T7" s="390"/>
      <c r="U7" s="390"/>
      <c r="V7" s="390"/>
      <c r="W7" s="390"/>
      <c r="X7" s="390"/>
      <c r="AA7" s="435"/>
      <c r="AB7" s="436"/>
      <c r="AC7" s="436"/>
      <c r="AD7" s="436"/>
      <c r="AE7" s="436"/>
      <c r="AF7" s="436"/>
      <c r="AG7" s="436"/>
      <c r="AH7" s="436"/>
      <c r="AI7" s="436"/>
      <c r="AJ7" s="436"/>
      <c r="AK7" s="436"/>
      <c r="AL7" s="436"/>
      <c r="AM7" s="436"/>
      <c r="AN7" s="436"/>
      <c r="AO7" s="436"/>
      <c r="AP7" s="436"/>
      <c r="AQ7" s="436"/>
      <c r="AR7" s="436"/>
      <c r="AS7" s="436"/>
      <c r="AT7" s="437"/>
      <c r="AU7" s="302"/>
      <c r="AW7" s="415"/>
      <c r="AX7" s="387">
        <v>0</v>
      </c>
      <c r="AY7" s="388"/>
      <c r="AZ7" s="389"/>
      <c r="BB7" s="387"/>
      <c r="BC7" s="388"/>
      <c r="BD7" s="389"/>
      <c r="BF7" s="472">
        <f>IF(BR1="否",SUM(AX3:BQ3,AX5:BQ5,(R15+AX7)*(O6+O7+O8),BB7),SUM(O6*职业!AF2,O7*职业!AF3,O8*职业!AF4,职业!AF7,(R15+AX7)*(O6+O7+O8),BB7))</f>
        <v>0</v>
      </c>
      <c r="BG7" s="473"/>
      <c r="BH7" s="474"/>
      <c r="BI7" s="416"/>
      <c r="BJ7" s="416"/>
      <c r="BK7" s="416"/>
      <c r="BL7" s="416"/>
      <c r="BM7" s="416"/>
      <c r="BN7" s="416"/>
      <c r="BO7" s="416"/>
      <c r="BP7" s="416"/>
      <c r="BQ7" s="416"/>
      <c r="BT7" s="458"/>
      <c r="BU7" s="459"/>
      <c r="BV7" s="459"/>
      <c r="BW7" s="459"/>
      <c r="BX7" s="459"/>
      <c r="BY7" s="460"/>
      <c r="BZ7" s="461"/>
      <c r="CA7" s="461"/>
      <c r="CB7" s="461"/>
      <c r="CC7" s="461"/>
      <c r="CD7" s="461"/>
      <c r="CE7" s="461"/>
      <c r="CF7" s="461"/>
      <c r="CG7" s="461"/>
      <c r="CH7" s="461"/>
      <c r="CI7" s="461"/>
      <c r="CJ7" s="461"/>
      <c r="CK7" s="461"/>
      <c r="CL7" s="461"/>
      <c r="CM7" s="461"/>
      <c r="CN7" s="461"/>
      <c r="CO7" s="461"/>
    </row>
    <row r="8" spans="1:93" ht="16.649999999999999" customHeight="1" x14ac:dyDescent="0.25">
      <c r="B8" s="382" t="s">
        <v>63</v>
      </c>
      <c r="C8" s="382"/>
      <c r="D8" s="382"/>
      <c r="E8" s="611"/>
      <c r="F8" s="612"/>
      <c r="G8" s="612"/>
      <c r="H8" s="613"/>
      <c r="I8" s="614"/>
      <c r="J8" s="615"/>
      <c r="K8" s="615"/>
      <c r="L8" s="615"/>
      <c r="M8" s="615"/>
      <c r="N8" s="616"/>
      <c r="O8" s="389"/>
      <c r="P8" s="379"/>
      <c r="R8" s="508" t="s">
        <v>64</v>
      </c>
      <c r="S8" s="509"/>
      <c r="T8" s="379"/>
      <c r="U8" s="379"/>
      <c r="V8" s="379"/>
      <c r="W8" s="379"/>
      <c r="X8" s="379"/>
      <c r="AA8" s="435"/>
      <c r="AB8" s="436"/>
      <c r="AC8" s="436"/>
      <c r="AD8" s="436"/>
      <c r="AE8" s="436"/>
      <c r="AF8" s="436"/>
      <c r="AG8" s="436"/>
      <c r="AH8" s="436"/>
      <c r="AI8" s="436"/>
      <c r="AJ8" s="436"/>
      <c r="AK8" s="436"/>
      <c r="AL8" s="436"/>
      <c r="AM8" s="436"/>
      <c r="AN8" s="436"/>
      <c r="AO8" s="436"/>
      <c r="AP8" s="436"/>
      <c r="AQ8" s="436"/>
      <c r="AR8" s="436"/>
      <c r="AS8" s="436"/>
      <c r="AT8" s="437"/>
      <c r="BT8" s="463"/>
      <c r="BU8" s="464"/>
      <c r="BV8" s="464"/>
      <c r="BW8" s="464"/>
      <c r="BX8" s="464"/>
      <c r="BY8" s="465"/>
      <c r="BZ8" s="457"/>
      <c r="CA8" s="457"/>
      <c r="CB8" s="457"/>
      <c r="CC8" s="457"/>
      <c r="CD8" s="457"/>
      <c r="CE8" s="457"/>
      <c r="CF8" s="457"/>
      <c r="CG8" s="457"/>
      <c r="CH8" s="457"/>
      <c r="CI8" s="457"/>
      <c r="CJ8" s="457"/>
      <c r="CK8" s="457"/>
      <c r="CL8" s="457"/>
      <c r="CM8" s="457"/>
      <c r="CN8" s="457"/>
      <c r="CO8" s="457"/>
    </row>
    <row r="9" spans="1:93" ht="16.649999999999999" customHeight="1" x14ac:dyDescent="0.25">
      <c r="B9" s="508" t="s">
        <v>65</v>
      </c>
      <c r="C9" s="509"/>
      <c r="D9" s="510"/>
      <c r="E9" s="387"/>
      <c r="F9" s="388"/>
      <c r="G9" s="388"/>
      <c r="H9" s="388"/>
      <c r="I9" s="388"/>
      <c r="J9" s="388"/>
      <c r="K9" s="388"/>
      <c r="L9" s="388"/>
      <c r="M9" s="388"/>
      <c r="N9" s="389"/>
      <c r="O9" s="487" t="str">
        <f>IF(E9="","","Lv "&amp;VLOOKUP(E9,数据表!CC3:CD22,2,TRUE))</f>
        <v/>
      </c>
      <c r="P9" s="488"/>
      <c r="R9" s="380" t="s">
        <v>66</v>
      </c>
      <c r="S9" s="380"/>
      <c r="T9" s="396"/>
      <c r="U9" s="396"/>
      <c r="V9" s="396"/>
      <c r="W9" s="396"/>
      <c r="X9" s="396"/>
      <c r="AA9" s="435"/>
      <c r="AB9" s="436"/>
      <c r="AC9" s="436"/>
      <c r="AD9" s="436"/>
      <c r="AE9" s="436"/>
      <c r="AF9" s="436"/>
      <c r="AG9" s="436"/>
      <c r="AH9" s="436"/>
      <c r="AI9" s="436"/>
      <c r="AJ9" s="436"/>
      <c r="AK9" s="436"/>
      <c r="AL9" s="436"/>
      <c r="AM9" s="436"/>
      <c r="AN9" s="436"/>
      <c r="AO9" s="436"/>
      <c r="AP9" s="436"/>
      <c r="AQ9" s="436"/>
      <c r="AR9" s="436"/>
      <c r="AS9" s="436"/>
      <c r="AT9" s="437"/>
      <c r="AW9" s="605"/>
      <c r="AX9" s="606"/>
      <c r="AY9" s="606"/>
      <c r="AZ9" s="606"/>
      <c r="BA9" s="606"/>
      <c r="BB9" s="606"/>
      <c r="BC9" s="305"/>
      <c r="BD9" s="606"/>
      <c r="BE9" s="606"/>
      <c r="BF9" s="606"/>
      <c r="BG9" s="606"/>
      <c r="BH9" s="606"/>
      <c r="BI9" s="606"/>
      <c r="BJ9" s="607" t="s">
        <v>67</v>
      </c>
      <c r="BK9" s="608"/>
      <c r="BL9" s="608"/>
      <c r="BM9" s="608"/>
      <c r="BN9" s="608"/>
      <c r="BO9" s="608"/>
      <c r="BP9" s="608"/>
      <c r="BQ9" s="608"/>
      <c r="BR9" s="609"/>
      <c r="BT9" s="458"/>
      <c r="BU9" s="459"/>
      <c r="BV9" s="459"/>
      <c r="BW9" s="459"/>
      <c r="BX9" s="459"/>
      <c r="BY9" s="460"/>
      <c r="BZ9" s="461"/>
      <c r="CA9" s="461"/>
      <c r="CB9" s="461"/>
      <c r="CC9" s="461"/>
      <c r="CD9" s="461"/>
      <c r="CE9" s="461"/>
      <c r="CF9" s="461"/>
      <c r="CG9" s="461"/>
      <c r="CH9" s="461"/>
      <c r="CI9" s="461"/>
      <c r="CJ9" s="461"/>
      <c r="CK9" s="461"/>
      <c r="CL9" s="461"/>
      <c r="CM9" s="461"/>
      <c r="CN9" s="461"/>
      <c r="CO9" s="461"/>
    </row>
    <row r="10" spans="1:93" ht="16.649999999999999" customHeight="1" x14ac:dyDescent="0.35">
      <c r="AA10" s="435"/>
      <c r="AB10" s="436"/>
      <c r="AC10" s="436"/>
      <c r="AD10" s="436"/>
      <c r="AE10" s="436"/>
      <c r="AF10" s="436"/>
      <c r="AG10" s="436"/>
      <c r="AH10" s="436"/>
      <c r="AI10" s="436"/>
      <c r="AJ10" s="436"/>
      <c r="AK10" s="436"/>
      <c r="AL10" s="436"/>
      <c r="AM10" s="436"/>
      <c r="AN10" s="436"/>
      <c r="AO10" s="436"/>
      <c r="AP10" s="436"/>
      <c r="AQ10" s="436"/>
      <c r="AR10" s="436"/>
      <c r="AS10" s="436"/>
      <c r="AT10" s="437"/>
      <c r="AW10" s="306" t="s">
        <v>68</v>
      </c>
      <c r="AX10" s="307"/>
      <c r="AY10" s="610" t="s">
        <v>69</v>
      </c>
      <c r="AZ10" s="610"/>
      <c r="BA10" s="610"/>
      <c r="BB10" s="610"/>
      <c r="BC10" s="462" t="s">
        <v>39</v>
      </c>
      <c r="BD10" s="462"/>
      <c r="BE10" s="462"/>
      <c r="BF10" s="462"/>
      <c r="BG10" s="462"/>
      <c r="BH10" s="462"/>
      <c r="BI10" s="462"/>
      <c r="BJ10" s="462"/>
      <c r="BK10" s="462"/>
      <c r="BL10" s="462"/>
      <c r="BM10" s="462"/>
      <c r="BN10" s="462"/>
      <c r="BO10" s="462"/>
      <c r="BP10" s="462"/>
      <c r="BQ10" s="462"/>
      <c r="BR10" s="462"/>
      <c r="BT10" s="463"/>
      <c r="BU10" s="464"/>
      <c r="BV10" s="464"/>
      <c r="BW10" s="464"/>
      <c r="BX10" s="464"/>
      <c r="BY10" s="465"/>
      <c r="BZ10" s="457"/>
      <c r="CA10" s="457"/>
      <c r="CB10" s="457"/>
      <c r="CC10" s="457"/>
      <c r="CD10" s="457"/>
      <c r="CE10" s="457"/>
      <c r="CF10" s="457"/>
      <c r="CG10" s="457"/>
      <c r="CH10" s="457"/>
      <c r="CI10" s="457"/>
      <c r="CJ10" s="457"/>
      <c r="CK10" s="457"/>
      <c r="CL10" s="457"/>
      <c r="CM10" s="457"/>
      <c r="CN10" s="457"/>
      <c r="CO10" s="457"/>
    </row>
    <row r="11" spans="1:93" ht="16.649999999999999" customHeight="1" x14ac:dyDescent="0.25">
      <c r="B11" s="466" t="s">
        <v>70</v>
      </c>
      <c r="C11" s="466"/>
      <c r="D11" s="466"/>
      <c r="E11" s="466"/>
      <c r="F11" s="466"/>
      <c r="G11" s="466"/>
      <c r="H11" s="466"/>
      <c r="I11" s="466"/>
      <c r="J11" s="466"/>
      <c r="K11" s="466"/>
      <c r="L11" s="466"/>
      <c r="M11" s="466"/>
      <c r="N11" s="466"/>
      <c r="O11" s="466"/>
      <c r="P11" s="466"/>
      <c r="Q11" s="466"/>
      <c r="R11" s="466"/>
      <c r="S11" s="466"/>
      <c r="T11" s="466"/>
      <c r="U11" s="466"/>
      <c r="V11" s="466"/>
      <c r="W11" s="466"/>
      <c r="X11" s="466"/>
      <c r="Y11" s="466"/>
      <c r="AA11" s="435"/>
      <c r="AB11" s="436"/>
      <c r="AC11" s="436"/>
      <c r="AD11" s="436"/>
      <c r="AE11" s="436"/>
      <c r="AF11" s="436"/>
      <c r="AG11" s="436"/>
      <c r="AH11" s="436"/>
      <c r="AI11" s="436"/>
      <c r="AJ11" s="436"/>
      <c r="AK11" s="436"/>
      <c r="AL11" s="436"/>
      <c r="AM11" s="436"/>
      <c r="AN11" s="436"/>
      <c r="AO11" s="436"/>
      <c r="AP11" s="436"/>
      <c r="AQ11" s="436"/>
      <c r="AR11" s="436"/>
      <c r="AS11" s="436"/>
      <c r="AT11" s="437"/>
      <c r="AW11" s="308" t="str">
        <f>职业!BT2</f>
        <v/>
      </c>
      <c r="AX11" s="458"/>
      <c r="AY11" s="459"/>
      <c r="AZ11" s="459"/>
      <c r="BA11" s="459"/>
      <c r="BB11" s="460"/>
      <c r="BC11" s="461"/>
      <c r="BD11" s="461"/>
      <c r="BE11" s="461"/>
      <c r="BF11" s="461"/>
      <c r="BG11" s="461"/>
      <c r="BH11" s="461"/>
      <c r="BI11" s="461"/>
      <c r="BJ11" s="461"/>
      <c r="BK11" s="461"/>
      <c r="BL11" s="461"/>
      <c r="BM11" s="461"/>
      <c r="BN11" s="461"/>
      <c r="BO11" s="461"/>
      <c r="BP11" s="461"/>
      <c r="BQ11" s="461"/>
      <c r="BR11" s="461"/>
      <c r="BS11" s="272"/>
      <c r="BT11" s="458"/>
      <c r="BU11" s="459"/>
      <c r="BV11" s="459"/>
      <c r="BW11" s="459"/>
      <c r="BX11" s="459"/>
      <c r="BY11" s="460"/>
      <c r="BZ11" s="461"/>
      <c r="CA11" s="461"/>
      <c r="CB11" s="461"/>
      <c r="CC11" s="461"/>
      <c r="CD11" s="461"/>
      <c r="CE11" s="461"/>
      <c r="CF11" s="461"/>
      <c r="CG11" s="461"/>
      <c r="CH11" s="461"/>
      <c r="CI11" s="461"/>
      <c r="CJ11" s="461"/>
      <c r="CK11" s="461"/>
      <c r="CL11" s="461"/>
      <c r="CM11" s="461"/>
      <c r="CN11" s="461"/>
      <c r="CO11" s="461"/>
    </row>
    <row r="12" spans="1:93" ht="16.649999999999999" customHeight="1" x14ac:dyDescent="0.35">
      <c r="A12" s="273"/>
      <c r="B12" s="116" t="s">
        <v>40</v>
      </c>
      <c r="C12" s="274"/>
      <c r="D12" s="122"/>
      <c r="E12" s="122"/>
      <c r="F12" s="462" t="s">
        <v>71</v>
      </c>
      <c r="G12" s="462"/>
      <c r="H12" s="122"/>
      <c r="I12" s="462" t="s">
        <v>72</v>
      </c>
      <c r="J12" s="462"/>
      <c r="K12" s="462" t="s">
        <v>7</v>
      </c>
      <c r="L12" s="462"/>
      <c r="M12" s="462" t="s">
        <v>73</v>
      </c>
      <c r="N12" s="462"/>
      <c r="O12" s="462" t="s">
        <v>41</v>
      </c>
      <c r="P12" s="462"/>
      <c r="Q12" s="122"/>
      <c r="R12" s="462" t="s">
        <v>74</v>
      </c>
      <c r="S12" s="462"/>
      <c r="T12" s="462" t="s">
        <v>75</v>
      </c>
      <c r="U12" s="462"/>
      <c r="V12" s="122"/>
      <c r="W12" s="462" t="s">
        <v>41</v>
      </c>
      <c r="X12" s="462"/>
      <c r="Y12" s="120"/>
      <c r="Z12" s="120"/>
      <c r="AA12" s="435"/>
      <c r="AB12" s="436"/>
      <c r="AC12" s="436"/>
      <c r="AD12" s="436"/>
      <c r="AE12" s="436"/>
      <c r="AF12" s="436"/>
      <c r="AG12" s="436"/>
      <c r="AH12" s="436"/>
      <c r="AI12" s="436"/>
      <c r="AJ12" s="436"/>
      <c r="AK12" s="436"/>
      <c r="AL12" s="436"/>
      <c r="AM12" s="436"/>
      <c r="AN12" s="436"/>
      <c r="AO12" s="436"/>
      <c r="AP12" s="436"/>
      <c r="AQ12" s="436"/>
      <c r="AR12" s="436"/>
      <c r="AS12" s="436"/>
      <c r="AT12" s="437"/>
      <c r="AW12" s="309" t="str">
        <f>职业!BT3</f>
        <v/>
      </c>
      <c r="AX12" s="463"/>
      <c r="AY12" s="464"/>
      <c r="AZ12" s="464"/>
      <c r="BA12" s="464"/>
      <c r="BB12" s="465"/>
      <c r="BC12" s="457"/>
      <c r="BD12" s="457"/>
      <c r="BE12" s="457"/>
      <c r="BF12" s="457"/>
      <c r="BG12" s="457"/>
      <c r="BH12" s="457"/>
      <c r="BI12" s="457"/>
      <c r="BJ12" s="457"/>
      <c r="BK12" s="457"/>
      <c r="BL12" s="457"/>
      <c r="BM12" s="457"/>
      <c r="BN12" s="457"/>
      <c r="BO12" s="457"/>
      <c r="BP12" s="457"/>
      <c r="BQ12" s="457"/>
      <c r="BR12" s="457"/>
      <c r="BS12" s="272"/>
      <c r="BT12" s="463"/>
      <c r="BU12" s="464"/>
      <c r="BV12" s="464"/>
      <c r="BW12" s="464"/>
      <c r="BX12" s="464"/>
      <c r="BY12" s="465"/>
      <c r="BZ12" s="457"/>
      <c r="CA12" s="457"/>
      <c r="CB12" s="457"/>
      <c r="CC12" s="457"/>
      <c r="CD12" s="457"/>
      <c r="CE12" s="457"/>
      <c r="CF12" s="457"/>
      <c r="CG12" s="457"/>
      <c r="CH12" s="457"/>
      <c r="CI12" s="457"/>
      <c r="CJ12" s="457"/>
      <c r="CK12" s="457"/>
      <c r="CL12" s="457"/>
      <c r="CM12" s="457"/>
      <c r="CN12" s="457"/>
      <c r="CO12" s="457"/>
    </row>
    <row r="13" spans="1:93" ht="16.649999999999999" customHeight="1" x14ac:dyDescent="0.35">
      <c r="B13" s="118" t="s">
        <v>76</v>
      </c>
      <c r="C13" s="602" t="s">
        <v>77</v>
      </c>
      <c r="D13" s="602"/>
      <c r="E13" s="602"/>
      <c r="F13" s="603">
        <f t="shared" ref="F13:F18" si="0">I13+K13+M13+O13</f>
        <v>10</v>
      </c>
      <c r="G13" s="603"/>
      <c r="H13" s="124" t="s">
        <v>42</v>
      </c>
      <c r="I13" s="381">
        <v>10</v>
      </c>
      <c r="J13" s="381"/>
      <c r="K13" s="381"/>
      <c r="L13" s="381"/>
      <c r="M13" s="381"/>
      <c r="N13" s="381"/>
      <c r="O13" s="381"/>
      <c r="P13" s="381"/>
      <c r="Q13" s="124" t="s">
        <v>78</v>
      </c>
      <c r="R13" s="582">
        <f t="shared" ref="R13:R18" si="1">INT(F13/2-5)</f>
        <v>0</v>
      </c>
      <c r="S13" s="582"/>
      <c r="T13" s="604">
        <f t="shared" ref="T13:T18" si="2">INT(F13/2-5)+IF(B13="O",$S$3,0)+W13</f>
        <v>0</v>
      </c>
      <c r="U13" s="604"/>
      <c r="V13" s="124" t="s">
        <v>42</v>
      </c>
      <c r="W13" s="381"/>
      <c r="X13" s="381"/>
      <c r="Y13" s="120"/>
      <c r="Z13" s="120"/>
      <c r="AA13" s="435"/>
      <c r="AB13" s="436"/>
      <c r="AC13" s="436"/>
      <c r="AD13" s="436"/>
      <c r="AE13" s="436"/>
      <c r="AF13" s="436"/>
      <c r="AG13" s="436"/>
      <c r="AH13" s="436"/>
      <c r="AI13" s="436"/>
      <c r="AJ13" s="436"/>
      <c r="AK13" s="436"/>
      <c r="AL13" s="436"/>
      <c r="AM13" s="436"/>
      <c r="AN13" s="436"/>
      <c r="AO13" s="436"/>
      <c r="AP13" s="436"/>
      <c r="AQ13" s="436"/>
      <c r="AR13" s="436"/>
      <c r="AS13" s="436"/>
      <c r="AT13" s="437"/>
      <c r="AW13" s="308" t="str">
        <f>职业!BT4</f>
        <v/>
      </c>
      <c r="AX13" s="458"/>
      <c r="AY13" s="459"/>
      <c r="AZ13" s="459"/>
      <c r="BA13" s="459"/>
      <c r="BB13" s="460"/>
      <c r="BC13" s="461"/>
      <c r="BD13" s="461"/>
      <c r="BE13" s="461"/>
      <c r="BF13" s="461"/>
      <c r="BG13" s="461"/>
      <c r="BH13" s="461"/>
      <c r="BI13" s="461"/>
      <c r="BJ13" s="461"/>
      <c r="BK13" s="461"/>
      <c r="BL13" s="461"/>
      <c r="BM13" s="461"/>
      <c r="BN13" s="461"/>
      <c r="BO13" s="461"/>
      <c r="BP13" s="461"/>
      <c r="BQ13" s="461"/>
      <c r="BR13" s="461"/>
      <c r="BS13" s="272"/>
      <c r="BT13" s="458"/>
      <c r="BU13" s="459"/>
      <c r="BV13" s="459"/>
      <c r="BW13" s="459"/>
      <c r="BX13" s="459"/>
      <c r="BY13" s="460"/>
      <c r="BZ13" s="461"/>
      <c r="CA13" s="461"/>
      <c r="CB13" s="461"/>
      <c r="CC13" s="461"/>
      <c r="CD13" s="461"/>
      <c r="CE13" s="461"/>
      <c r="CF13" s="461"/>
      <c r="CG13" s="461"/>
      <c r="CH13" s="461"/>
      <c r="CI13" s="461"/>
      <c r="CJ13" s="461"/>
      <c r="CK13" s="461"/>
      <c r="CL13" s="461"/>
      <c r="CM13" s="461"/>
      <c r="CN13" s="461"/>
      <c r="CO13" s="461"/>
    </row>
    <row r="14" spans="1:93" ht="16.649999999999999" customHeight="1" x14ac:dyDescent="0.35">
      <c r="A14" s="275"/>
      <c r="B14" s="118" t="s">
        <v>76</v>
      </c>
      <c r="C14" s="602" t="s">
        <v>79</v>
      </c>
      <c r="D14" s="602"/>
      <c r="E14" s="602"/>
      <c r="F14" s="603">
        <f t="shared" si="0"/>
        <v>10</v>
      </c>
      <c r="G14" s="603"/>
      <c r="H14" s="124" t="s">
        <v>42</v>
      </c>
      <c r="I14" s="381">
        <v>10</v>
      </c>
      <c r="J14" s="381"/>
      <c r="K14" s="381"/>
      <c r="L14" s="381"/>
      <c r="M14" s="381"/>
      <c r="N14" s="381"/>
      <c r="O14" s="381"/>
      <c r="P14" s="381"/>
      <c r="Q14" s="124" t="s">
        <v>78</v>
      </c>
      <c r="R14" s="582">
        <f t="shared" si="1"/>
        <v>0</v>
      </c>
      <c r="S14" s="582"/>
      <c r="T14" s="604">
        <f t="shared" si="2"/>
        <v>0</v>
      </c>
      <c r="U14" s="604"/>
      <c r="V14" s="124" t="s">
        <v>42</v>
      </c>
      <c r="W14" s="381"/>
      <c r="X14" s="381"/>
      <c r="Y14" s="120"/>
      <c r="Z14" s="120"/>
      <c r="AA14" s="435"/>
      <c r="AB14" s="436"/>
      <c r="AC14" s="436"/>
      <c r="AD14" s="436"/>
      <c r="AE14" s="436"/>
      <c r="AF14" s="436"/>
      <c r="AG14" s="436"/>
      <c r="AH14" s="436"/>
      <c r="AI14" s="436"/>
      <c r="AJ14" s="436"/>
      <c r="AK14" s="436"/>
      <c r="AL14" s="436"/>
      <c r="AM14" s="436"/>
      <c r="AN14" s="436"/>
      <c r="AO14" s="436"/>
      <c r="AP14" s="436"/>
      <c r="AQ14" s="436"/>
      <c r="AR14" s="436"/>
      <c r="AS14" s="436"/>
      <c r="AT14" s="437"/>
      <c r="AW14" s="309" t="str">
        <f>职业!BT5</f>
        <v/>
      </c>
      <c r="AX14" s="463"/>
      <c r="AY14" s="464"/>
      <c r="AZ14" s="464"/>
      <c r="BA14" s="464"/>
      <c r="BB14" s="465"/>
      <c r="BC14" s="457"/>
      <c r="BD14" s="457"/>
      <c r="BE14" s="457"/>
      <c r="BF14" s="457"/>
      <c r="BG14" s="457"/>
      <c r="BH14" s="457"/>
      <c r="BI14" s="457"/>
      <c r="BJ14" s="457"/>
      <c r="BK14" s="457"/>
      <c r="BL14" s="457"/>
      <c r="BM14" s="457"/>
      <c r="BN14" s="457"/>
      <c r="BO14" s="457"/>
      <c r="BP14" s="457"/>
      <c r="BQ14" s="457"/>
      <c r="BR14" s="457"/>
      <c r="BS14" s="272"/>
      <c r="BT14" s="463"/>
      <c r="BU14" s="464"/>
      <c r="BV14" s="464"/>
      <c r="BW14" s="464"/>
      <c r="BX14" s="464"/>
      <c r="BY14" s="465"/>
      <c r="BZ14" s="457"/>
      <c r="CA14" s="457"/>
      <c r="CB14" s="457"/>
      <c r="CC14" s="457"/>
      <c r="CD14" s="457"/>
      <c r="CE14" s="457"/>
      <c r="CF14" s="457"/>
      <c r="CG14" s="457"/>
      <c r="CH14" s="457"/>
      <c r="CI14" s="457"/>
      <c r="CJ14" s="457"/>
      <c r="CK14" s="457"/>
      <c r="CL14" s="457"/>
      <c r="CM14" s="457"/>
      <c r="CN14" s="457"/>
      <c r="CO14" s="457"/>
    </row>
    <row r="15" spans="1:93" ht="16.649999999999999" customHeight="1" x14ac:dyDescent="0.35">
      <c r="A15" s="275"/>
      <c r="B15" s="118" t="s">
        <v>76</v>
      </c>
      <c r="C15" s="602" t="s">
        <v>80</v>
      </c>
      <c r="D15" s="602"/>
      <c r="E15" s="602"/>
      <c r="F15" s="603">
        <f t="shared" si="0"/>
        <v>10</v>
      </c>
      <c r="G15" s="603"/>
      <c r="H15" s="124" t="s">
        <v>42</v>
      </c>
      <c r="I15" s="381">
        <v>10</v>
      </c>
      <c r="J15" s="381"/>
      <c r="K15" s="381"/>
      <c r="L15" s="381"/>
      <c r="M15" s="381"/>
      <c r="N15" s="381"/>
      <c r="O15" s="381"/>
      <c r="P15" s="381"/>
      <c r="Q15" s="124" t="s">
        <v>78</v>
      </c>
      <c r="R15" s="582">
        <f t="shared" si="1"/>
        <v>0</v>
      </c>
      <c r="S15" s="582"/>
      <c r="T15" s="604">
        <f t="shared" si="2"/>
        <v>0</v>
      </c>
      <c r="U15" s="604"/>
      <c r="V15" s="124" t="s">
        <v>42</v>
      </c>
      <c r="W15" s="381"/>
      <c r="X15" s="381"/>
      <c r="Y15" s="120"/>
      <c r="Z15" s="120"/>
      <c r="AA15" s="435"/>
      <c r="AB15" s="436"/>
      <c r="AC15" s="436"/>
      <c r="AD15" s="436"/>
      <c r="AE15" s="436"/>
      <c r="AF15" s="436"/>
      <c r="AG15" s="436"/>
      <c r="AH15" s="436"/>
      <c r="AI15" s="436"/>
      <c r="AJ15" s="436"/>
      <c r="AK15" s="436"/>
      <c r="AL15" s="436"/>
      <c r="AM15" s="436"/>
      <c r="AN15" s="436"/>
      <c r="AO15" s="436"/>
      <c r="AP15" s="436"/>
      <c r="AQ15" s="436"/>
      <c r="AR15" s="436"/>
      <c r="AS15" s="436"/>
      <c r="AT15" s="437"/>
      <c r="AW15" s="308" t="str">
        <f>职业!BT6</f>
        <v/>
      </c>
      <c r="AX15" s="458"/>
      <c r="AY15" s="459"/>
      <c r="AZ15" s="459"/>
      <c r="BA15" s="459"/>
      <c r="BB15" s="460"/>
      <c r="BC15" s="461"/>
      <c r="BD15" s="461"/>
      <c r="BE15" s="461"/>
      <c r="BF15" s="461"/>
      <c r="BG15" s="461"/>
      <c r="BH15" s="461"/>
      <c r="BI15" s="461"/>
      <c r="BJ15" s="461"/>
      <c r="BK15" s="461"/>
      <c r="BL15" s="461"/>
      <c r="BM15" s="461"/>
      <c r="BN15" s="461"/>
      <c r="BO15" s="461"/>
      <c r="BP15" s="461"/>
      <c r="BQ15" s="461"/>
      <c r="BR15" s="461"/>
      <c r="BS15" s="272"/>
      <c r="BT15" s="458"/>
      <c r="BU15" s="459"/>
      <c r="BV15" s="459"/>
      <c r="BW15" s="459"/>
      <c r="BX15" s="459"/>
      <c r="BY15" s="460"/>
      <c r="BZ15" s="461"/>
      <c r="CA15" s="461"/>
      <c r="CB15" s="461"/>
      <c r="CC15" s="461"/>
      <c r="CD15" s="461"/>
      <c r="CE15" s="461"/>
      <c r="CF15" s="461"/>
      <c r="CG15" s="461"/>
      <c r="CH15" s="461"/>
      <c r="CI15" s="461"/>
      <c r="CJ15" s="461"/>
      <c r="CK15" s="461"/>
      <c r="CL15" s="461"/>
      <c r="CM15" s="461"/>
      <c r="CN15" s="461"/>
      <c r="CO15" s="461"/>
    </row>
    <row r="16" spans="1:93" ht="16.649999999999999" customHeight="1" x14ac:dyDescent="0.35">
      <c r="A16" s="275"/>
      <c r="B16" s="118" t="s">
        <v>76</v>
      </c>
      <c r="C16" s="602" t="s">
        <v>81</v>
      </c>
      <c r="D16" s="602"/>
      <c r="E16" s="602"/>
      <c r="F16" s="603">
        <f t="shared" si="0"/>
        <v>10</v>
      </c>
      <c r="G16" s="603"/>
      <c r="H16" s="124" t="s">
        <v>42</v>
      </c>
      <c r="I16" s="381">
        <v>10</v>
      </c>
      <c r="J16" s="381"/>
      <c r="K16" s="381"/>
      <c r="L16" s="381"/>
      <c r="M16" s="381"/>
      <c r="N16" s="381"/>
      <c r="O16" s="381"/>
      <c r="P16" s="381"/>
      <c r="Q16" s="124" t="s">
        <v>78</v>
      </c>
      <c r="R16" s="582">
        <f t="shared" si="1"/>
        <v>0</v>
      </c>
      <c r="S16" s="582"/>
      <c r="T16" s="604">
        <f t="shared" si="2"/>
        <v>0</v>
      </c>
      <c r="U16" s="604"/>
      <c r="V16" s="124" t="s">
        <v>42</v>
      </c>
      <c r="W16" s="381"/>
      <c r="X16" s="381"/>
      <c r="Y16" s="120"/>
      <c r="Z16" s="120"/>
      <c r="AA16" s="435"/>
      <c r="AB16" s="436"/>
      <c r="AC16" s="436"/>
      <c r="AD16" s="436"/>
      <c r="AE16" s="436"/>
      <c r="AF16" s="436"/>
      <c r="AG16" s="436"/>
      <c r="AH16" s="436"/>
      <c r="AI16" s="436"/>
      <c r="AJ16" s="436"/>
      <c r="AK16" s="436"/>
      <c r="AL16" s="436"/>
      <c r="AM16" s="436"/>
      <c r="AN16" s="436"/>
      <c r="AO16" s="436"/>
      <c r="AP16" s="436"/>
      <c r="AQ16" s="436"/>
      <c r="AR16" s="436"/>
      <c r="AS16" s="436"/>
      <c r="AT16" s="437"/>
      <c r="AW16" s="309" t="str">
        <f>职业!BT7</f>
        <v/>
      </c>
      <c r="AX16" s="463"/>
      <c r="AY16" s="464"/>
      <c r="AZ16" s="464"/>
      <c r="BA16" s="464"/>
      <c r="BB16" s="465"/>
      <c r="BC16" s="457"/>
      <c r="BD16" s="457"/>
      <c r="BE16" s="457"/>
      <c r="BF16" s="457"/>
      <c r="BG16" s="457"/>
      <c r="BH16" s="457"/>
      <c r="BI16" s="457"/>
      <c r="BJ16" s="457"/>
      <c r="BK16" s="457"/>
      <c r="BL16" s="457"/>
      <c r="BM16" s="457"/>
      <c r="BN16" s="457"/>
      <c r="BO16" s="457"/>
      <c r="BP16" s="457"/>
      <c r="BQ16" s="457"/>
      <c r="BR16" s="457"/>
      <c r="BS16" s="272"/>
    </row>
    <row r="17" spans="1:93" ht="16.649999999999999" customHeight="1" x14ac:dyDescent="0.35">
      <c r="A17" s="275"/>
      <c r="B17" s="118" t="s">
        <v>76</v>
      </c>
      <c r="C17" s="602" t="s">
        <v>82</v>
      </c>
      <c r="D17" s="602"/>
      <c r="E17" s="602"/>
      <c r="F17" s="603">
        <f t="shared" si="0"/>
        <v>10</v>
      </c>
      <c r="G17" s="603"/>
      <c r="H17" s="124" t="s">
        <v>42</v>
      </c>
      <c r="I17" s="381">
        <v>10</v>
      </c>
      <c r="J17" s="381"/>
      <c r="K17" s="381"/>
      <c r="L17" s="381"/>
      <c r="M17" s="381"/>
      <c r="N17" s="381"/>
      <c r="O17" s="381"/>
      <c r="P17" s="381"/>
      <c r="Q17" s="124" t="s">
        <v>78</v>
      </c>
      <c r="R17" s="582">
        <f t="shared" si="1"/>
        <v>0</v>
      </c>
      <c r="S17" s="582"/>
      <c r="T17" s="604">
        <f t="shared" si="2"/>
        <v>0</v>
      </c>
      <c r="U17" s="604"/>
      <c r="V17" s="124" t="s">
        <v>42</v>
      </c>
      <c r="W17" s="381"/>
      <c r="X17" s="381"/>
      <c r="Y17" s="120"/>
      <c r="Z17" s="120"/>
      <c r="AA17" s="435"/>
      <c r="AB17" s="436"/>
      <c r="AC17" s="436"/>
      <c r="AD17" s="436"/>
      <c r="AE17" s="436"/>
      <c r="AF17" s="436"/>
      <c r="AG17" s="436"/>
      <c r="AH17" s="436"/>
      <c r="AI17" s="436"/>
      <c r="AJ17" s="436"/>
      <c r="AK17" s="436"/>
      <c r="AL17" s="436"/>
      <c r="AM17" s="436"/>
      <c r="AN17" s="436"/>
      <c r="AO17" s="436"/>
      <c r="AP17" s="436"/>
      <c r="AQ17" s="436"/>
      <c r="AR17" s="436"/>
      <c r="AS17" s="436"/>
      <c r="AT17" s="437"/>
      <c r="AW17" s="308" t="str">
        <f>职业!BT8</f>
        <v/>
      </c>
      <c r="AX17" s="458"/>
      <c r="AY17" s="459"/>
      <c r="AZ17" s="459"/>
      <c r="BA17" s="459"/>
      <c r="BB17" s="460"/>
      <c r="BC17" s="461"/>
      <c r="BD17" s="461"/>
      <c r="BE17" s="461"/>
      <c r="BF17" s="461"/>
      <c r="BG17" s="461"/>
      <c r="BH17" s="461"/>
      <c r="BI17" s="461"/>
      <c r="BJ17" s="461"/>
      <c r="BK17" s="461"/>
      <c r="BL17" s="461"/>
      <c r="BM17" s="461"/>
      <c r="BN17" s="461"/>
      <c r="BO17" s="461"/>
      <c r="BP17" s="461"/>
      <c r="BQ17" s="461"/>
      <c r="BR17" s="461"/>
      <c r="BS17" s="272"/>
      <c r="BT17" s="466" t="s">
        <v>17</v>
      </c>
      <c r="BU17" s="466"/>
      <c r="BV17" s="466"/>
      <c r="BW17" s="466"/>
      <c r="BX17" s="466"/>
      <c r="BY17" s="466"/>
      <c r="BZ17" s="466"/>
      <c r="CA17" s="466"/>
      <c r="CB17" s="466"/>
      <c r="CC17" s="466"/>
      <c r="CD17" s="466"/>
      <c r="CE17" s="466"/>
      <c r="CF17" s="466"/>
      <c r="CG17" s="466"/>
      <c r="CH17" s="466"/>
      <c r="CI17" s="466"/>
      <c r="CJ17" s="466"/>
      <c r="CK17" s="466"/>
      <c r="CL17" s="466"/>
      <c r="CM17" s="466"/>
      <c r="CN17" s="466"/>
      <c r="CO17" s="466"/>
    </row>
    <row r="18" spans="1:93" ht="16.649999999999999" customHeight="1" x14ac:dyDescent="0.35">
      <c r="A18" s="275"/>
      <c r="B18" s="118" t="s">
        <v>76</v>
      </c>
      <c r="C18" s="602" t="s">
        <v>83</v>
      </c>
      <c r="D18" s="602"/>
      <c r="E18" s="602"/>
      <c r="F18" s="603">
        <f t="shared" si="0"/>
        <v>10</v>
      </c>
      <c r="G18" s="603"/>
      <c r="H18" s="124" t="s">
        <v>42</v>
      </c>
      <c r="I18" s="381">
        <v>10</v>
      </c>
      <c r="J18" s="381"/>
      <c r="K18" s="381"/>
      <c r="L18" s="381"/>
      <c r="M18" s="381"/>
      <c r="N18" s="381"/>
      <c r="O18" s="381"/>
      <c r="P18" s="381"/>
      <c r="Q18" s="124" t="s">
        <v>78</v>
      </c>
      <c r="R18" s="582">
        <f t="shared" si="1"/>
        <v>0</v>
      </c>
      <c r="S18" s="582"/>
      <c r="T18" s="604">
        <f t="shared" si="2"/>
        <v>0</v>
      </c>
      <c r="U18" s="604"/>
      <c r="V18" s="124" t="s">
        <v>42</v>
      </c>
      <c r="W18" s="381"/>
      <c r="X18" s="381"/>
      <c r="Y18" s="120"/>
      <c r="Z18" s="120"/>
      <c r="AA18" s="435"/>
      <c r="AB18" s="436"/>
      <c r="AC18" s="436"/>
      <c r="AD18" s="436"/>
      <c r="AE18" s="436"/>
      <c r="AF18" s="436"/>
      <c r="AG18" s="436"/>
      <c r="AH18" s="436"/>
      <c r="AI18" s="436"/>
      <c r="AJ18" s="436"/>
      <c r="AK18" s="436"/>
      <c r="AL18" s="436"/>
      <c r="AM18" s="436"/>
      <c r="AN18" s="436"/>
      <c r="AO18" s="436"/>
      <c r="AP18" s="436"/>
      <c r="AQ18" s="436"/>
      <c r="AR18" s="436"/>
      <c r="AS18" s="436"/>
      <c r="AT18" s="437"/>
      <c r="AW18" s="309" t="str">
        <f>职业!BT9</f>
        <v/>
      </c>
      <c r="AX18" s="463"/>
      <c r="AY18" s="464"/>
      <c r="AZ18" s="464"/>
      <c r="BA18" s="464"/>
      <c r="BB18" s="465"/>
      <c r="BC18" s="457"/>
      <c r="BD18" s="457"/>
      <c r="BE18" s="457"/>
      <c r="BF18" s="457"/>
      <c r="BG18" s="457"/>
      <c r="BH18" s="457"/>
      <c r="BI18" s="457"/>
      <c r="BJ18" s="457"/>
      <c r="BK18" s="457"/>
      <c r="BL18" s="457"/>
      <c r="BM18" s="457"/>
      <c r="BN18" s="457"/>
      <c r="BO18" s="457"/>
      <c r="BP18" s="457"/>
      <c r="BQ18" s="457"/>
      <c r="BR18" s="457"/>
      <c r="BS18" s="272"/>
      <c r="BT18" s="120" t="s">
        <v>55</v>
      </c>
      <c r="BU18" s="476" t="s">
        <v>38</v>
      </c>
      <c r="BV18" s="476"/>
      <c r="BW18" s="476"/>
      <c r="BX18" s="476"/>
      <c r="BY18" s="476"/>
      <c r="BZ18" s="462" t="s">
        <v>39</v>
      </c>
      <c r="CA18" s="462"/>
      <c r="CB18" s="462"/>
      <c r="CC18" s="462"/>
      <c r="CD18" s="462"/>
      <c r="CE18" s="462"/>
      <c r="CF18" s="462"/>
      <c r="CG18" s="462"/>
      <c r="CH18" s="462"/>
      <c r="CI18" s="462"/>
      <c r="CJ18" s="462"/>
      <c r="CK18" s="462"/>
      <c r="CL18" s="462"/>
      <c r="CM18" s="462"/>
      <c r="CN18" s="462"/>
      <c r="CO18" s="462"/>
    </row>
    <row r="19" spans="1:93" ht="16.649999999999999" customHeight="1" x14ac:dyDescent="0.25">
      <c r="A19" s="275"/>
      <c r="AA19" s="435"/>
      <c r="AB19" s="436"/>
      <c r="AC19" s="436"/>
      <c r="AD19" s="436"/>
      <c r="AE19" s="436"/>
      <c r="AF19" s="436"/>
      <c r="AG19" s="436"/>
      <c r="AH19" s="436"/>
      <c r="AI19" s="436"/>
      <c r="AJ19" s="436"/>
      <c r="AK19" s="436"/>
      <c r="AL19" s="436"/>
      <c r="AM19" s="436"/>
      <c r="AN19" s="436"/>
      <c r="AO19" s="436"/>
      <c r="AP19" s="436"/>
      <c r="AQ19" s="436"/>
      <c r="AR19" s="436"/>
      <c r="AS19" s="436"/>
      <c r="AT19" s="437"/>
      <c r="AW19" s="308" t="str">
        <f>职业!BT10</f>
        <v/>
      </c>
      <c r="AX19" s="458"/>
      <c r="AY19" s="459"/>
      <c r="AZ19" s="459"/>
      <c r="BA19" s="459"/>
      <c r="BB19" s="460"/>
      <c r="BC19" s="461"/>
      <c r="BD19" s="461"/>
      <c r="BE19" s="461"/>
      <c r="BF19" s="461"/>
      <c r="BG19" s="461"/>
      <c r="BH19" s="461"/>
      <c r="BI19" s="461"/>
      <c r="BJ19" s="461"/>
      <c r="BK19" s="461"/>
      <c r="BL19" s="461"/>
      <c r="BM19" s="461"/>
      <c r="BN19" s="461"/>
      <c r="BO19" s="461"/>
      <c r="BP19" s="461"/>
      <c r="BQ19" s="461"/>
      <c r="BR19" s="461"/>
      <c r="BS19" s="272"/>
      <c r="BT19" s="310">
        <v>1</v>
      </c>
      <c r="BU19" s="458"/>
      <c r="BV19" s="459"/>
      <c r="BW19" s="459"/>
      <c r="BX19" s="459"/>
      <c r="BY19" s="460"/>
      <c r="BZ19" s="461"/>
      <c r="CA19" s="461"/>
      <c r="CB19" s="461"/>
      <c r="CC19" s="461"/>
      <c r="CD19" s="461"/>
      <c r="CE19" s="461"/>
      <c r="CF19" s="461"/>
      <c r="CG19" s="461"/>
      <c r="CH19" s="461"/>
      <c r="CI19" s="461"/>
      <c r="CJ19" s="461"/>
      <c r="CK19" s="461"/>
      <c r="CL19" s="461"/>
      <c r="CM19" s="461"/>
      <c r="CN19" s="461"/>
      <c r="CO19" s="461"/>
    </row>
    <row r="20" spans="1:93" ht="16.649999999999999" customHeight="1" x14ac:dyDescent="0.25">
      <c r="B20" s="466" t="s">
        <v>84</v>
      </c>
      <c r="C20" s="466"/>
      <c r="D20" s="466"/>
      <c r="E20" s="466"/>
      <c r="F20" s="466"/>
      <c r="G20" s="466"/>
      <c r="H20" s="466"/>
      <c r="I20" s="466"/>
      <c r="J20" s="466"/>
      <c r="K20" s="466"/>
      <c r="L20" s="466"/>
      <c r="M20" s="466"/>
      <c r="N20" s="466"/>
      <c r="O20" s="466"/>
      <c r="P20" s="466"/>
      <c r="Q20" s="466"/>
      <c r="R20" s="466"/>
      <c r="S20" s="571" t="s">
        <v>85</v>
      </c>
      <c r="T20" s="571"/>
      <c r="U20" s="571"/>
      <c r="V20" s="571"/>
      <c r="W20" s="571"/>
      <c r="X20" s="571"/>
      <c r="Y20" s="299" t="s">
        <v>86</v>
      </c>
      <c r="AA20" s="435"/>
      <c r="AB20" s="436"/>
      <c r="AC20" s="436"/>
      <c r="AD20" s="436"/>
      <c r="AE20" s="436"/>
      <c r="AF20" s="436"/>
      <c r="AG20" s="436"/>
      <c r="AH20" s="436"/>
      <c r="AI20" s="436"/>
      <c r="AJ20" s="436"/>
      <c r="AK20" s="436"/>
      <c r="AL20" s="436"/>
      <c r="AM20" s="436"/>
      <c r="AN20" s="436"/>
      <c r="AO20" s="436"/>
      <c r="AP20" s="436"/>
      <c r="AQ20" s="436"/>
      <c r="AR20" s="436"/>
      <c r="AS20" s="436"/>
      <c r="AT20" s="437"/>
      <c r="AW20" s="309" t="str">
        <f>职业!BT11</f>
        <v/>
      </c>
      <c r="AX20" s="463"/>
      <c r="AY20" s="464"/>
      <c r="AZ20" s="464"/>
      <c r="BA20" s="464"/>
      <c r="BB20" s="465"/>
      <c r="BC20" s="457"/>
      <c r="BD20" s="457"/>
      <c r="BE20" s="457"/>
      <c r="BF20" s="457"/>
      <c r="BG20" s="457"/>
      <c r="BH20" s="457"/>
      <c r="BI20" s="457"/>
      <c r="BJ20" s="457"/>
      <c r="BK20" s="457"/>
      <c r="BL20" s="457"/>
      <c r="BM20" s="457"/>
      <c r="BN20" s="457"/>
      <c r="BO20" s="457"/>
      <c r="BP20" s="457"/>
      <c r="BQ20" s="457"/>
      <c r="BR20" s="457"/>
      <c r="BS20" s="272"/>
      <c r="BT20" s="311">
        <v>4</v>
      </c>
      <c r="BU20" s="463"/>
      <c r="BV20" s="464"/>
      <c r="BW20" s="464"/>
      <c r="BX20" s="464"/>
      <c r="BY20" s="465"/>
      <c r="BZ20" s="457"/>
      <c r="CA20" s="457"/>
      <c r="CB20" s="457"/>
      <c r="CC20" s="457"/>
      <c r="CD20" s="457"/>
      <c r="CE20" s="457"/>
      <c r="CF20" s="457"/>
      <c r="CG20" s="457"/>
      <c r="CH20" s="457"/>
      <c r="CI20" s="457"/>
      <c r="CJ20" s="457"/>
      <c r="CK20" s="457"/>
      <c r="CL20" s="457"/>
      <c r="CM20" s="457"/>
      <c r="CN20" s="457"/>
      <c r="CO20" s="457"/>
    </row>
    <row r="21" spans="1:93" ht="16.649999999999999" customHeight="1" x14ac:dyDescent="0.35">
      <c r="G21" s="462" t="s">
        <v>41</v>
      </c>
      <c r="H21" s="462"/>
      <c r="N21" s="462" t="s">
        <v>87</v>
      </c>
      <c r="O21" s="462"/>
      <c r="Q21" s="462" t="s">
        <v>88</v>
      </c>
      <c r="R21" s="462"/>
      <c r="AA21" s="435"/>
      <c r="AB21" s="436"/>
      <c r="AC21" s="436"/>
      <c r="AD21" s="436"/>
      <c r="AE21" s="436"/>
      <c r="AF21" s="436"/>
      <c r="AG21" s="436"/>
      <c r="AH21" s="436"/>
      <c r="AI21" s="436"/>
      <c r="AJ21" s="436"/>
      <c r="AK21" s="436"/>
      <c r="AL21" s="436"/>
      <c r="AM21" s="436"/>
      <c r="AN21" s="436"/>
      <c r="AO21" s="436"/>
      <c r="AP21" s="436"/>
      <c r="AQ21" s="436"/>
      <c r="AR21" s="436"/>
      <c r="AS21" s="436"/>
      <c r="AT21" s="437"/>
      <c r="AW21" s="308" t="str">
        <f>职业!BT12</f>
        <v/>
      </c>
      <c r="AX21" s="458"/>
      <c r="AY21" s="459"/>
      <c r="AZ21" s="459"/>
      <c r="BA21" s="459"/>
      <c r="BB21" s="460"/>
      <c r="BC21" s="461"/>
      <c r="BD21" s="461"/>
      <c r="BE21" s="461"/>
      <c r="BF21" s="461"/>
      <c r="BG21" s="461"/>
      <c r="BH21" s="461"/>
      <c r="BI21" s="461"/>
      <c r="BJ21" s="461"/>
      <c r="BK21" s="461"/>
      <c r="BL21" s="461"/>
      <c r="BM21" s="461"/>
      <c r="BN21" s="461"/>
      <c r="BO21" s="461"/>
      <c r="BP21" s="461"/>
      <c r="BQ21" s="461"/>
      <c r="BR21" s="461"/>
      <c r="BS21" s="272"/>
      <c r="BT21" s="310">
        <v>8</v>
      </c>
      <c r="BU21" s="458"/>
      <c r="BV21" s="459"/>
      <c r="BW21" s="459"/>
      <c r="BX21" s="459"/>
      <c r="BY21" s="460"/>
      <c r="BZ21" s="461"/>
      <c r="CA21" s="461"/>
      <c r="CB21" s="461"/>
      <c r="CC21" s="461"/>
      <c r="CD21" s="461"/>
      <c r="CE21" s="461"/>
      <c r="CF21" s="461"/>
      <c r="CG21" s="461"/>
      <c r="CH21" s="461"/>
      <c r="CI21" s="461"/>
      <c r="CJ21" s="461"/>
      <c r="CK21" s="461"/>
      <c r="CL21" s="461"/>
      <c r="CM21" s="461"/>
      <c r="CN21" s="461"/>
      <c r="CO21" s="461"/>
    </row>
    <row r="22" spans="1:93" ht="16.649999999999999" customHeight="1" x14ac:dyDescent="0.25">
      <c r="B22" s="380" t="s">
        <v>89</v>
      </c>
      <c r="C22" s="380"/>
      <c r="D22" s="582">
        <f>SUM(R14+G22)</f>
        <v>0</v>
      </c>
      <c r="E22" s="582"/>
      <c r="F22" s="124" t="s">
        <v>42</v>
      </c>
      <c r="G22" s="379"/>
      <c r="H22" s="379"/>
      <c r="J22" s="589" t="s">
        <v>90</v>
      </c>
      <c r="K22" s="590"/>
      <c r="L22" s="597"/>
      <c r="M22" s="598">
        <v>0</v>
      </c>
      <c r="N22" s="598"/>
      <c r="O22" s="598"/>
      <c r="P22" s="285" t="s">
        <v>91</v>
      </c>
      <c r="Q22" s="599">
        <f>BF7</f>
        <v>0</v>
      </c>
      <c r="R22" s="599"/>
      <c r="S22" s="600"/>
      <c r="U22" s="428" t="s">
        <v>92</v>
      </c>
      <c r="V22" s="429"/>
      <c r="W22" s="417"/>
      <c r="X22" s="417"/>
      <c r="Y22" s="417"/>
      <c r="AA22" s="438"/>
      <c r="AB22" s="439"/>
      <c r="AC22" s="439"/>
      <c r="AD22" s="439"/>
      <c r="AE22" s="439"/>
      <c r="AF22" s="439"/>
      <c r="AG22" s="439"/>
      <c r="AH22" s="439"/>
      <c r="AI22" s="439"/>
      <c r="AJ22" s="439"/>
      <c r="AK22" s="439"/>
      <c r="AL22" s="439"/>
      <c r="AM22" s="439"/>
      <c r="AN22" s="439"/>
      <c r="AO22" s="439"/>
      <c r="AP22" s="439"/>
      <c r="AQ22" s="439"/>
      <c r="AR22" s="439"/>
      <c r="AS22" s="439"/>
      <c r="AT22" s="440"/>
      <c r="AW22" s="309" t="str">
        <f>职业!BT13</f>
        <v/>
      </c>
      <c r="AX22" s="463"/>
      <c r="AY22" s="464"/>
      <c r="AZ22" s="464"/>
      <c r="BA22" s="464"/>
      <c r="BB22" s="465"/>
      <c r="BC22" s="457"/>
      <c r="BD22" s="457"/>
      <c r="BE22" s="457"/>
      <c r="BF22" s="457"/>
      <c r="BG22" s="457"/>
      <c r="BH22" s="457"/>
      <c r="BI22" s="457"/>
      <c r="BJ22" s="457"/>
      <c r="BK22" s="457"/>
      <c r="BL22" s="457"/>
      <c r="BM22" s="457"/>
      <c r="BN22" s="457"/>
      <c r="BO22" s="457"/>
      <c r="BP22" s="457"/>
      <c r="BQ22" s="457"/>
      <c r="BR22" s="457"/>
      <c r="BS22" s="272"/>
      <c r="BT22" s="311">
        <v>12</v>
      </c>
      <c r="BU22" s="463"/>
      <c r="BV22" s="464"/>
      <c r="BW22" s="464"/>
      <c r="BX22" s="464"/>
      <c r="BY22" s="465"/>
      <c r="BZ22" s="457"/>
      <c r="CA22" s="457"/>
      <c r="CB22" s="457"/>
      <c r="CC22" s="457"/>
      <c r="CD22" s="457"/>
      <c r="CE22" s="457"/>
      <c r="CF22" s="457"/>
      <c r="CG22" s="457"/>
      <c r="CH22" s="457"/>
      <c r="CI22" s="457"/>
      <c r="CJ22" s="457"/>
      <c r="CK22" s="457"/>
      <c r="CL22" s="457"/>
      <c r="CM22" s="457"/>
      <c r="CN22" s="457"/>
      <c r="CO22" s="457"/>
    </row>
    <row r="23" spans="1:93" ht="16.649999999999999" customHeight="1" x14ac:dyDescent="0.25">
      <c r="B23" s="581" t="s">
        <v>93</v>
      </c>
      <c r="C23" s="581"/>
      <c r="D23" s="582">
        <f>SUM(AD31,AG31,G23,+IF(AS31="是",AO31,0))</f>
        <v>10</v>
      </c>
      <c r="E23" s="582"/>
      <c r="F23" s="124" t="s">
        <v>42</v>
      </c>
      <c r="G23" s="379"/>
      <c r="H23" s="379"/>
      <c r="J23" s="589" t="s">
        <v>94</v>
      </c>
      <c r="K23" s="590"/>
      <c r="L23" s="591"/>
      <c r="M23" s="592">
        <v>1</v>
      </c>
      <c r="N23" s="593"/>
      <c r="O23" s="593"/>
      <c r="P23" s="283" t="s">
        <v>91</v>
      </c>
      <c r="Q23" s="594">
        <f>O6+O7+O8</f>
        <v>1</v>
      </c>
      <c r="R23" s="594"/>
      <c r="S23" s="595"/>
      <c r="U23" s="430"/>
      <c r="V23" s="431"/>
      <c r="W23" s="417"/>
      <c r="X23" s="417"/>
      <c r="Y23" s="417"/>
      <c r="AA23" s="596" t="s">
        <v>95</v>
      </c>
      <c r="AB23" s="596"/>
      <c r="AC23" s="596"/>
      <c r="AD23" s="596"/>
      <c r="AE23" s="596"/>
      <c r="AF23" s="596"/>
      <c r="AG23" s="596"/>
      <c r="AH23" s="596"/>
      <c r="AI23" s="596"/>
      <c r="AJ23" s="596"/>
      <c r="AK23" s="596"/>
      <c r="AL23" s="596"/>
      <c r="AM23" s="596"/>
      <c r="AN23" s="596"/>
      <c r="AO23" s="596"/>
      <c r="AP23" s="596"/>
      <c r="AQ23" s="596"/>
      <c r="AR23" s="596"/>
      <c r="AS23" s="596"/>
      <c r="AT23" s="596"/>
      <c r="AW23" s="308" t="str">
        <f>职业!BT14</f>
        <v/>
      </c>
      <c r="AX23" s="458"/>
      <c r="AY23" s="459"/>
      <c r="AZ23" s="459"/>
      <c r="BA23" s="459"/>
      <c r="BB23" s="460"/>
      <c r="BC23" s="461"/>
      <c r="BD23" s="461"/>
      <c r="BE23" s="461"/>
      <c r="BF23" s="461"/>
      <c r="BG23" s="461"/>
      <c r="BH23" s="461"/>
      <c r="BI23" s="461"/>
      <c r="BJ23" s="461"/>
      <c r="BK23" s="461"/>
      <c r="BL23" s="461"/>
      <c r="BM23" s="461"/>
      <c r="BN23" s="461"/>
      <c r="BO23" s="461"/>
      <c r="BP23" s="461"/>
      <c r="BQ23" s="461"/>
      <c r="BR23" s="461"/>
      <c r="BS23" s="272"/>
      <c r="BT23" s="310">
        <v>16</v>
      </c>
      <c r="BU23" s="458"/>
      <c r="BV23" s="459"/>
      <c r="BW23" s="459"/>
      <c r="BX23" s="459"/>
      <c r="BY23" s="460"/>
      <c r="BZ23" s="461"/>
      <c r="CA23" s="461"/>
      <c r="CB23" s="461"/>
      <c r="CC23" s="461"/>
      <c r="CD23" s="461"/>
      <c r="CE23" s="461"/>
      <c r="CF23" s="461"/>
      <c r="CG23" s="461"/>
      <c r="CH23" s="461"/>
      <c r="CI23" s="461"/>
      <c r="CJ23" s="461"/>
      <c r="CK23" s="461"/>
      <c r="CL23" s="461"/>
      <c r="CM23" s="461"/>
      <c r="CN23" s="461"/>
      <c r="CO23" s="461"/>
    </row>
    <row r="24" spans="1:93" ht="16.649999999999999" customHeight="1" x14ac:dyDescent="0.35">
      <c r="G24" s="462" t="s">
        <v>41</v>
      </c>
      <c r="H24" s="462"/>
      <c r="I24" s="286"/>
      <c r="J24" s="286"/>
      <c r="K24" s="286"/>
      <c r="L24" s="286"/>
      <c r="P24" s="601"/>
      <c r="Q24" s="601"/>
      <c r="AA24" s="380" t="s">
        <v>97</v>
      </c>
      <c r="AB24" s="380"/>
      <c r="AC24" s="381"/>
      <c r="AD24" s="381"/>
      <c r="AE24" s="381"/>
      <c r="AF24" s="381"/>
      <c r="AG24" s="381"/>
      <c r="AH24" s="381"/>
      <c r="AI24" s="381"/>
      <c r="AJ24" s="381"/>
      <c r="AK24" s="381"/>
      <c r="AL24" s="381"/>
      <c r="AM24" s="381"/>
      <c r="AN24" s="381"/>
      <c r="AO24" s="381"/>
      <c r="AP24" s="381"/>
      <c r="AQ24" s="381"/>
      <c r="AR24" s="381"/>
      <c r="AS24" s="381"/>
      <c r="AT24" s="381"/>
      <c r="AW24" s="309" t="str">
        <f>职业!BT15</f>
        <v/>
      </c>
      <c r="AX24" s="463"/>
      <c r="AY24" s="464"/>
      <c r="AZ24" s="464"/>
      <c r="BA24" s="464"/>
      <c r="BB24" s="465"/>
      <c r="BC24" s="457"/>
      <c r="BD24" s="457"/>
      <c r="BE24" s="457"/>
      <c r="BF24" s="457"/>
      <c r="BG24" s="457"/>
      <c r="BH24" s="457"/>
      <c r="BI24" s="457"/>
      <c r="BJ24" s="457"/>
      <c r="BK24" s="457"/>
      <c r="BL24" s="457"/>
      <c r="BM24" s="457"/>
      <c r="BN24" s="457"/>
      <c r="BO24" s="457"/>
      <c r="BP24" s="457"/>
      <c r="BQ24" s="457"/>
      <c r="BR24" s="457"/>
      <c r="BS24" s="272"/>
      <c r="BT24" s="311">
        <v>19</v>
      </c>
      <c r="BU24" s="463"/>
      <c r="BV24" s="464"/>
      <c r="BW24" s="464"/>
      <c r="BX24" s="464"/>
      <c r="BY24" s="465"/>
      <c r="BZ24" s="457"/>
      <c r="CA24" s="457"/>
      <c r="CB24" s="457"/>
      <c r="CC24" s="457"/>
      <c r="CD24" s="457"/>
      <c r="CE24" s="457"/>
      <c r="CF24" s="457"/>
      <c r="CG24" s="457"/>
      <c r="CH24" s="457"/>
      <c r="CI24" s="457"/>
      <c r="CJ24" s="457"/>
      <c r="CK24" s="457"/>
      <c r="CL24" s="457"/>
      <c r="CM24" s="457"/>
      <c r="CN24" s="457"/>
      <c r="CO24" s="457"/>
    </row>
    <row r="25" spans="1:93" ht="16.649999999999999" customHeight="1" x14ac:dyDescent="0.25">
      <c r="B25" s="581" t="s">
        <v>98</v>
      </c>
      <c r="C25" s="581"/>
      <c r="D25" s="582">
        <f>SUM(8+S3+G25+IF(F26="力量",R13,IF(F26="敏捷",R14,IF(F26="体质",R15,IF(F26="智力",R16,IF(F26="感知",R17,IF(F26="魅力",R18,0)))))))</f>
        <v>10</v>
      </c>
      <c r="E25" s="582"/>
      <c r="F25" s="124" t="s">
        <v>42</v>
      </c>
      <c r="G25" s="379"/>
      <c r="H25" s="379"/>
      <c r="I25" s="287"/>
      <c r="J25" s="508" t="s">
        <v>99</v>
      </c>
      <c r="K25" s="509"/>
      <c r="L25" s="509"/>
      <c r="M25" s="510"/>
      <c r="N25" s="583" t="s">
        <v>100</v>
      </c>
      <c r="O25" s="584"/>
      <c r="P25" s="584"/>
      <c r="Q25" s="585"/>
      <c r="R25" s="508" t="s">
        <v>101</v>
      </c>
      <c r="S25" s="509"/>
      <c r="T25" s="509"/>
      <c r="U25" s="510"/>
      <c r="V25" s="586">
        <v>30</v>
      </c>
      <c r="W25" s="587"/>
      <c r="X25" s="587"/>
      <c r="Y25" s="588"/>
      <c r="AA25" s="380" t="s">
        <v>102</v>
      </c>
      <c r="AB25" s="380"/>
      <c r="AC25" s="579"/>
      <c r="AD25" s="579"/>
      <c r="AE25" s="579"/>
      <c r="AF25" s="579"/>
      <c r="AG25" s="579"/>
      <c r="AH25" s="579"/>
      <c r="AI25" s="579"/>
      <c r="AJ25" s="579"/>
      <c r="AK25" s="579"/>
      <c r="AL25" s="579"/>
      <c r="AM25" s="579"/>
      <c r="AN25" s="579"/>
      <c r="AO25" s="579"/>
      <c r="AP25" s="579"/>
      <c r="AQ25" s="579"/>
      <c r="AR25" s="579"/>
      <c r="AS25" s="579"/>
      <c r="AT25" s="579"/>
      <c r="AW25" s="308" t="str">
        <f>职业!BT16</f>
        <v/>
      </c>
      <c r="AX25" s="458"/>
      <c r="AY25" s="459"/>
      <c r="AZ25" s="459"/>
      <c r="BA25" s="459"/>
      <c r="BB25" s="460"/>
      <c r="BC25" s="461"/>
      <c r="BD25" s="461"/>
      <c r="BE25" s="461"/>
      <c r="BF25" s="461"/>
      <c r="BG25" s="461"/>
      <c r="BH25" s="461"/>
      <c r="BI25" s="461"/>
      <c r="BJ25" s="461"/>
      <c r="BK25" s="461"/>
      <c r="BL25" s="461"/>
      <c r="BM25" s="461"/>
      <c r="BN25" s="461"/>
      <c r="BO25" s="461"/>
      <c r="BP25" s="461"/>
      <c r="BQ25" s="461"/>
      <c r="BR25" s="461"/>
      <c r="BS25" s="272"/>
      <c r="BT25" s="310">
        <v>6</v>
      </c>
      <c r="BU25" s="458"/>
      <c r="BV25" s="459"/>
      <c r="BW25" s="459"/>
      <c r="BX25" s="459"/>
      <c r="BY25" s="460"/>
      <c r="BZ25" s="461"/>
      <c r="CA25" s="461"/>
      <c r="CB25" s="461"/>
      <c r="CC25" s="461"/>
      <c r="CD25" s="461"/>
      <c r="CE25" s="461"/>
      <c r="CF25" s="461"/>
      <c r="CG25" s="461"/>
      <c r="CH25" s="461"/>
      <c r="CI25" s="461"/>
      <c r="CJ25" s="461"/>
      <c r="CK25" s="461"/>
      <c r="CL25" s="461"/>
      <c r="CM25" s="461"/>
      <c r="CN25" s="461"/>
      <c r="CO25" s="461"/>
    </row>
    <row r="26" spans="1:93" ht="16.649999999999999" customHeight="1" x14ac:dyDescent="0.25">
      <c r="B26" s="380" t="s">
        <v>103</v>
      </c>
      <c r="C26" s="380"/>
      <c r="D26" s="380"/>
      <c r="E26" s="380"/>
      <c r="F26" s="580" t="s">
        <v>83</v>
      </c>
      <c r="G26" s="580"/>
      <c r="H26" s="580"/>
      <c r="J26" s="492" t="s">
        <v>104</v>
      </c>
      <c r="K26" s="493"/>
      <c r="L26" s="493"/>
      <c r="M26" s="494"/>
      <c r="N26" s="576"/>
      <c r="O26" s="577"/>
      <c r="P26" s="577"/>
      <c r="Q26" s="578"/>
      <c r="R26" s="492" t="s">
        <v>104</v>
      </c>
      <c r="S26" s="493"/>
      <c r="T26" s="493"/>
      <c r="U26" s="494"/>
      <c r="V26" s="576"/>
      <c r="W26" s="577"/>
      <c r="X26" s="577"/>
      <c r="Y26" s="578"/>
      <c r="AA26" s="508" t="s">
        <v>105</v>
      </c>
      <c r="AB26" s="510"/>
      <c r="AC26" s="579"/>
      <c r="AD26" s="579"/>
      <c r="AE26" s="579"/>
      <c r="AF26" s="579"/>
      <c r="AG26" s="579"/>
      <c r="AH26" s="579"/>
      <c r="AI26" s="579"/>
      <c r="AJ26" s="579"/>
      <c r="AK26" s="579"/>
      <c r="AL26" s="579"/>
      <c r="AM26" s="579"/>
      <c r="AN26" s="579"/>
      <c r="AO26" s="579"/>
      <c r="AP26" s="579"/>
      <c r="AQ26" s="579"/>
      <c r="AR26" s="579"/>
      <c r="AS26" s="579"/>
      <c r="AT26" s="579"/>
      <c r="AW26" s="309" t="str">
        <f>职业!BT17</f>
        <v/>
      </c>
      <c r="AX26" s="463"/>
      <c r="AY26" s="464"/>
      <c r="AZ26" s="464"/>
      <c r="BA26" s="464"/>
      <c r="BB26" s="465"/>
      <c r="BC26" s="457"/>
      <c r="BD26" s="457"/>
      <c r="BE26" s="457"/>
      <c r="BF26" s="457"/>
      <c r="BG26" s="457"/>
      <c r="BH26" s="457"/>
      <c r="BI26" s="457"/>
      <c r="BJ26" s="457"/>
      <c r="BK26" s="457"/>
      <c r="BL26" s="457"/>
      <c r="BM26" s="457"/>
      <c r="BN26" s="457"/>
      <c r="BO26" s="457"/>
      <c r="BP26" s="457"/>
      <c r="BQ26" s="457"/>
      <c r="BR26" s="457"/>
      <c r="BS26" s="272"/>
      <c r="BT26" s="311">
        <v>10</v>
      </c>
      <c r="BU26" s="463"/>
      <c r="BV26" s="464"/>
      <c r="BW26" s="464"/>
      <c r="BX26" s="464"/>
      <c r="BY26" s="465"/>
      <c r="BZ26" s="457"/>
      <c r="CA26" s="457"/>
      <c r="CB26" s="457"/>
      <c r="CC26" s="457"/>
      <c r="CD26" s="457"/>
      <c r="CE26" s="457"/>
      <c r="CF26" s="457"/>
      <c r="CG26" s="457"/>
      <c r="CH26" s="457"/>
      <c r="CI26" s="457"/>
      <c r="CJ26" s="457"/>
      <c r="CK26" s="457"/>
      <c r="CL26" s="457"/>
      <c r="CM26" s="457"/>
      <c r="CN26" s="457"/>
      <c r="CO26" s="457"/>
    </row>
    <row r="27" spans="1:93" ht="16.649999999999999" customHeight="1" x14ac:dyDescent="0.25">
      <c r="B27" s="380" t="s">
        <v>106</v>
      </c>
      <c r="C27" s="380"/>
      <c r="D27" s="380"/>
      <c r="E27" s="380"/>
      <c r="F27" s="573">
        <f>SUM(10+I43)</f>
        <v>10</v>
      </c>
      <c r="G27" s="574"/>
      <c r="H27" s="575"/>
      <c r="J27" s="492" t="s">
        <v>104</v>
      </c>
      <c r="K27" s="493"/>
      <c r="L27" s="493"/>
      <c r="M27" s="494"/>
      <c r="N27" s="576"/>
      <c r="O27" s="577"/>
      <c r="P27" s="577"/>
      <c r="Q27" s="578"/>
      <c r="R27" s="492" t="s">
        <v>104</v>
      </c>
      <c r="S27" s="493"/>
      <c r="T27" s="493"/>
      <c r="U27" s="494"/>
      <c r="V27" s="576"/>
      <c r="W27" s="577"/>
      <c r="X27" s="577"/>
      <c r="Y27" s="578"/>
      <c r="AA27" s="508" t="s">
        <v>107</v>
      </c>
      <c r="AB27" s="510"/>
      <c r="AC27" s="579"/>
      <c r="AD27" s="579"/>
      <c r="AE27" s="579"/>
      <c r="AF27" s="579"/>
      <c r="AG27" s="579"/>
      <c r="AH27" s="579"/>
      <c r="AI27" s="579"/>
      <c r="AJ27" s="579"/>
      <c r="AK27" s="579"/>
      <c r="AL27" s="579"/>
      <c r="AM27" s="579"/>
      <c r="AN27" s="579"/>
      <c r="AO27" s="579"/>
      <c r="AP27" s="579"/>
      <c r="AQ27" s="579"/>
      <c r="AR27" s="579"/>
      <c r="AS27" s="579"/>
      <c r="AT27" s="579"/>
      <c r="AW27" s="308" t="str">
        <f>职业!BT18</f>
        <v/>
      </c>
      <c r="AX27" s="458"/>
      <c r="AY27" s="459"/>
      <c r="AZ27" s="459"/>
      <c r="BA27" s="459"/>
      <c r="BB27" s="460"/>
      <c r="BC27" s="461"/>
      <c r="BD27" s="461"/>
      <c r="BE27" s="461"/>
      <c r="BF27" s="461"/>
      <c r="BG27" s="461"/>
      <c r="BH27" s="461"/>
      <c r="BI27" s="461"/>
      <c r="BJ27" s="461"/>
      <c r="BK27" s="461"/>
      <c r="BL27" s="461"/>
      <c r="BM27" s="461"/>
      <c r="BN27" s="461"/>
      <c r="BO27" s="461"/>
      <c r="BP27" s="461"/>
      <c r="BQ27" s="461"/>
      <c r="BR27" s="461"/>
      <c r="BS27" s="272"/>
      <c r="BT27" s="310"/>
      <c r="BU27" s="458"/>
      <c r="BV27" s="459"/>
      <c r="BW27" s="459"/>
      <c r="BX27" s="459"/>
      <c r="BY27" s="460"/>
      <c r="BZ27" s="461"/>
      <c r="CA27" s="461"/>
      <c r="CB27" s="461"/>
      <c r="CC27" s="461"/>
      <c r="CD27" s="461"/>
      <c r="CE27" s="461"/>
      <c r="CF27" s="461"/>
      <c r="CG27" s="461"/>
      <c r="CH27" s="461"/>
      <c r="CI27" s="461"/>
      <c r="CJ27" s="461"/>
      <c r="CK27" s="461"/>
      <c r="CL27" s="461"/>
      <c r="CM27" s="461"/>
      <c r="CN27" s="461"/>
      <c r="CO27" s="461"/>
    </row>
    <row r="28" spans="1:93" ht="16.649999999999999" customHeight="1" x14ac:dyDescent="0.25">
      <c r="AH28" s="286"/>
      <c r="AI28" s="286"/>
      <c r="AJ28" s="286"/>
      <c r="AK28" s="286"/>
      <c r="AL28" s="286"/>
      <c r="AM28" s="286"/>
      <c r="AN28" s="286"/>
      <c r="AO28" s="286"/>
      <c r="AP28" s="286"/>
      <c r="AQ28" s="286"/>
      <c r="AR28" s="286"/>
      <c r="AS28" s="286"/>
      <c r="AT28" s="286"/>
      <c r="AW28" s="309" t="str">
        <f>职业!BT19</f>
        <v/>
      </c>
      <c r="AX28" s="463"/>
      <c r="AY28" s="464"/>
      <c r="AZ28" s="464"/>
      <c r="BA28" s="464"/>
      <c r="BB28" s="465"/>
      <c r="BC28" s="457"/>
      <c r="BD28" s="457"/>
      <c r="BE28" s="457"/>
      <c r="BF28" s="457"/>
      <c r="BG28" s="457"/>
      <c r="BH28" s="457"/>
      <c r="BI28" s="457"/>
      <c r="BJ28" s="457"/>
      <c r="BK28" s="457"/>
      <c r="BL28" s="457"/>
      <c r="BM28" s="457"/>
      <c r="BN28" s="457"/>
      <c r="BO28" s="457"/>
      <c r="BP28" s="457"/>
      <c r="BQ28" s="457"/>
      <c r="BR28" s="457"/>
      <c r="BS28" s="272"/>
      <c r="BT28" s="311"/>
      <c r="BU28" s="463"/>
      <c r="BV28" s="464"/>
      <c r="BW28" s="464"/>
      <c r="BX28" s="464"/>
      <c r="BY28" s="465"/>
      <c r="BZ28" s="457"/>
      <c r="CA28" s="457"/>
      <c r="CB28" s="457"/>
      <c r="CC28" s="457"/>
      <c r="CD28" s="457"/>
      <c r="CE28" s="457"/>
      <c r="CF28" s="457"/>
      <c r="CG28" s="457"/>
      <c r="CH28" s="457"/>
      <c r="CI28" s="457"/>
      <c r="CJ28" s="457"/>
      <c r="CK28" s="457"/>
      <c r="CL28" s="457"/>
      <c r="CM28" s="457"/>
      <c r="CN28" s="457"/>
      <c r="CO28" s="457"/>
    </row>
    <row r="29" spans="1:93" ht="16.649999999999999" customHeight="1" x14ac:dyDescent="0.25">
      <c r="B29" s="466" t="s">
        <v>108</v>
      </c>
      <c r="C29" s="466"/>
      <c r="D29" s="466"/>
      <c r="E29" s="466"/>
      <c r="F29" s="466"/>
      <c r="G29" s="570" t="s">
        <v>109</v>
      </c>
      <c r="H29" s="570"/>
      <c r="I29" s="570"/>
      <c r="J29" s="288" t="s">
        <v>86</v>
      </c>
      <c r="L29" s="466" t="s">
        <v>110</v>
      </c>
      <c r="M29" s="466"/>
      <c r="N29" s="466"/>
      <c r="O29" s="466"/>
      <c r="P29" s="466"/>
      <c r="Q29" s="466"/>
      <c r="R29" s="466"/>
      <c r="S29" s="466"/>
      <c r="T29" s="466"/>
      <c r="U29" s="466"/>
      <c r="V29" s="466"/>
      <c r="W29" s="466"/>
      <c r="X29" s="466"/>
      <c r="Y29" s="466"/>
      <c r="Z29" s="466"/>
      <c r="AA29" s="466"/>
      <c r="AB29" s="466"/>
      <c r="AC29" s="466"/>
      <c r="AD29" s="466"/>
      <c r="AE29" s="466"/>
      <c r="AF29" s="466"/>
      <c r="AG29" s="570" t="s">
        <v>111</v>
      </c>
      <c r="AH29" s="570"/>
      <c r="AI29" s="570"/>
      <c r="AJ29" s="570"/>
      <c r="AK29" s="570"/>
      <c r="AL29" s="301">
        <f>SUM(数据表!CF24:CF39)</f>
        <v>0</v>
      </c>
      <c r="AM29" s="571" t="s">
        <v>112</v>
      </c>
      <c r="AN29" s="571"/>
      <c r="AO29" s="571"/>
      <c r="AP29" s="571"/>
      <c r="AQ29" s="571"/>
      <c r="AR29" s="571"/>
      <c r="AS29" s="572" t="s">
        <v>113</v>
      </c>
      <c r="AT29" s="572"/>
      <c r="AW29" s="308" t="str">
        <f>职业!BT20</f>
        <v/>
      </c>
      <c r="AX29" s="458"/>
      <c r="AY29" s="459"/>
      <c r="AZ29" s="459"/>
      <c r="BA29" s="459"/>
      <c r="BB29" s="460"/>
      <c r="BC29" s="461"/>
      <c r="BD29" s="461"/>
      <c r="BE29" s="461"/>
      <c r="BF29" s="461"/>
      <c r="BG29" s="461"/>
      <c r="BH29" s="461"/>
      <c r="BI29" s="461"/>
      <c r="BJ29" s="461"/>
      <c r="BK29" s="461"/>
      <c r="BL29" s="461"/>
      <c r="BM29" s="461"/>
      <c r="BN29" s="461"/>
      <c r="BO29" s="461"/>
      <c r="BP29" s="461"/>
      <c r="BQ29" s="461"/>
      <c r="BR29" s="461"/>
      <c r="BS29" s="272"/>
      <c r="BT29" s="310"/>
      <c r="BU29" s="458"/>
      <c r="BV29" s="459"/>
      <c r="BW29" s="459"/>
      <c r="BX29" s="459"/>
      <c r="BY29" s="460"/>
      <c r="BZ29" s="461"/>
      <c r="CA29" s="461"/>
      <c r="CB29" s="461"/>
      <c r="CC29" s="461"/>
      <c r="CD29" s="461"/>
      <c r="CE29" s="461"/>
      <c r="CF29" s="461"/>
      <c r="CG29" s="461"/>
      <c r="CH29" s="461"/>
      <c r="CI29" s="461"/>
      <c r="CJ29" s="461"/>
      <c r="CK29" s="461"/>
      <c r="CL29" s="461"/>
      <c r="CM29" s="461"/>
      <c r="CN29" s="461"/>
      <c r="CO29" s="461"/>
    </row>
    <row r="30" spans="1:93" ht="16.649999999999999" customHeight="1" x14ac:dyDescent="0.35">
      <c r="B30" s="116" t="s">
        <v>40</v>
      </c>
      <c r="C30" s="276"/>
      <c r="D30" s="441" t="s">
        <v>114</v>
      </c>
      <c r="E30" s="441"/>
      <c r="F30" s="462" t="s">
        <v>41</v>
      </c>
      <c r="G30" s="462"/>
      <c r="H30" s="276"/>
      <c r="I30" s="462" t="s">
        <v>71</v>
      </c>
      <c r="J30" s="462"/>
      <c r="K30" s="120"/>
      <c r="L30" s="462" t="s">
        <v>115</v>
      </c>
      <c r="M30" s="462"/>
      <c r="N30" s="120"/>
      <c r="O30" s="289" t="s">
        <v>116</v>
      </c>
      <c r="Q30" s="462" t="s">
        <v>38</v>
      </c>
      <c r="R30" s="462"/>
      <c r="S30" s="276"/>
      <c r="T30" s="289" t="s">
        <v>117</v>
      </c>
      <c r="U30" s="292"/>
      <c r="V30" s="120"/>
      <c r="W30" s="462" t="s">
        <v>118</v>
      </c>
      <c r="X30" s="462"/>
      <c r="Y30" s="120"/>
      <c r="Z30" s="120"/>
      <c r="AA30" s="462" t="s">
        <v>119</v>
      </c>
      <c r="AB30" s="462"/>
      <c r="AC30" s="120"/>
      <c r="AD30" s="462" t="s">
        <v>93</v>
      </c>
      <c r="AE30" s="462"/>
      <c r="AF30" s="566" t="s">
        <v>120</v>
      </c>
      <c r="AG30" s="566"/>
      <c r="AH30" s="566"/>
      <c r="AI30" s="293"/>
      <c r="AJ30" s="282" t="s">
        <v>116</v>
      </c>
      <c r="AK30" s="282"/>
      <c r="AL30" s="476" t="s">
        <v>96</v>
      </c>
      <c r="AM30" s="476"/>
      <c r="AN30" s="276"/>
      <c r="AO30" s="462" t="s">
        <v>93</v>
      </c>
      <c r="AP30" s="462"/>
      <c r="AQ30" s="462" t="s">
        <v>119</v>
      </c>
      <c r="AR30" s="462"/>
      <c r="AS30" s="462" t="s">
        <v>4406</v>
      </c>
      <c r="AT30" s="462"/>
      <c r="AU30" s="13"/>
      <c r="AW30" s="309" t="str">
        <f>职业!BT21</f>
        <v/>
      </c>
      <c r="AX30" s="463"/>
      <c r="AY30" s="464"/>
      <c r="AZ30" s="464"/>
      <c r="BA30" s="464"/>
      <c r="BB30" s="465"/>
      <c r="BC30" s="457"/>
      <c r="BD30" s="457"/>
      <c r="BE30" s="457"/>
      <c r="BF30" s="457"/>
      <c r="BG30" s="457"/>
      <c r="BH30" s="457"/>
      <c r="BI30" s="457"/>
      <c r="BJ30" s="457"/>
      <c r="BK30" s="457"/>
      <c r="BL30" s="457"/>
      <c r="BM30" s="457"/>
      <c r="BN30" s="457"/>
      <c r="BO30" s="457"/>
      <c r="BP30" s="457"/>
      <c r="BQ30" s="457"/>
      <c r="BR30" s="457"/>
      <c r="BS30" s="272"/>
    </row>
    <row r="31" spans="1:93" ht="16.649999999999999" customHeight="1" x14ac:dyDescent="0.25">
      <c r="B31" s="277" t="s">
        <v>76</v>
      </c>
      <c r="C31" s="478" t="s">
        <v>121</v>
      </c>
      <c r="D31" s="478"/>
      <c r="E31" s="478"/>
      <c r="F31" s="479"/>
      <c r="G31" s="479"/>
      <c r="H31" s="278" t="s">
        <v>78</v>
      </c>
      <c r="I31" s="480">
        <f>R13+F31+IF(B31="O",S3,(IF(B31="🅞",S3*2,IF(J29="是",INT(S3/2),0))))</f>
        <v>0</v>
      </c>
      <c r="J31" s="481"/>
      <c r="L31" s="567"/>
      <c r="M31" s="568"/>
      <c r="N31" s="569"/>
      <c r="O31" s="118" t="s">
        <v>76</v>
      </c>
      <c r="P31" s="543"/>
      <c r="Q31" s="543"/>
      <c r="R31" s="543"/>
      <c r="S31" s="543"/>
      <c r="T31" s="295"/>
      <c r="U31" s="461"/>
      <c r="V31" s="461"/>
      <c r="W31" s="461"/>
      <c r="X31" s="461"/>
      <c r="Y31" s="461"/>
      <c r="Z31" s="461"/>
      <c r="AA31" s="521" t="str">
        <f>装备!Z21</f>
        <v/>
      </c>
      <c r="AB31" s="521"/>
      <c r="AC31" s="278" t="s">
        <v>78</v>
      </c>
      <c r="AD31" s="564">
        <f>装备!X21+T31</f>
        <v>10</v>
      </c>
      <c r="AE31" s="565"/>
      <c r="AF31" s="312" t="s">
        <v>122</v>
      </c>
      <c r="AG31" s="560">
        <f>装备!Y21</f>
        <v>0</v>
      </c>
      <c r="AH31" s="560"/>
      <c r="AI31" s="367"/>
      <c r="AJ31" s="118" t="s">
        <v>76</v>
      </c>
      <c r="AK31" s="561"/>
      <c r="AL31" s="561"/>
      <c r="AM31" s="561"/>
      <c r="AN31" s="562"/>
      <c r="AO31" s="563">
        <v>2</v>
      </c>
      <c r="AP31" s="563"/>
      <c r="AQ31" s="521" t="str">
        <f>IF(AS31="否","",6)</f>
        <v/>
      </c>
      <c r="AR31" s="521"/>
      <c r="AS31" s="563" t="s">
        <v>4407</v>
      </c>
      <c r="AT31" s="563"/>
      <c r="AW31" s="308" t="str">
        <f>职业!BT22</f>
        <v/>
      </c>
      <c r="AX31" s="458"/>
      <c r="AY31" s="459"/>
      <c r="AZ31" s="459"/>
      <c r="BA31" s="459"/>
      <c r="BB31" s="460"/>
      <c r="BC31" s="461"/>
      <c r="BD31" s="461"/>
      <c r="BE31" s="461"/>
      <c r="BF31" s="461"/>
      <c r="BG31" s="461"/>
      <c r="BH31" s="461"/>
      <c r="BI31" s="461"/>
      <c r="BJ31" s="461"/>
      <c r="BK31" s="461"/>
      <c r="BL31" s="461"/>
      <c r="BM31" s="461"/>
      <c r="BN31" s="461"/>
      <c r="BO31" s="461"/>
      <c r="BP31" s="461"/>
      <c r="BQ31" s="461"/>
      <c r="BR31" s="461"/>
      <c r="BS31" s="272"/>
      <c r="BT31" s="466" t="s">
        <v>123</v>
      </c>
      <c r="BU31" s="466"/>
      <c r="BV31" s="466"/>
      <c r="BW31" s="466"/>
      <c r="BX31" s="466"/>
      <c r="BY31" s="466"/>
      <c r="BZ31" s="466"/>
      <c r="CA31" s="466"/>
      <c r="CB31" s="466"/>
      <c r="CC31" s="466"/>
      <c r="CD31" s="466"/>
      <c r="CE31" s="466"/>
      <c r="CF31" s="466"/>
      <c r="CG31" s="466"/>
      <c r="CH31" s="466"/>
      <c r="CI31" s="466"/>
      <c r="CJ31" s="466"/>
      <c r="CK31" s="466"/>
      <c r="CL31" s="466"/>
      <c r="CM31" s="466"/>
      <c r="CN31" s="466"/>
      <c r="CO31" s="466"/>
    </row>
    <row r="32" spans="1:93" ht="16.649999999999999" customHeight="1" x14ac:dyDescent="0.35">
      <c r="A32" s="279"/>
      <c r="B32" s="462" t="s">
        <v>124</v>
      </c>
      <c r="C32" s="462"/>
      <c r="D32" s="462"/>
      <c r="E32" s="462"/>
      <c r="F32" s="462"/>
      <c r="G32" s="462"/>
      <c r="H32" s="280"/>
      <c r="I32" s="290"/>
      <c r="J32" s="290"/>
      <c r="L32" s="462" t="s">
        <v>125</v>
      </c>
      <c r="M32" s="462"/>
      <c r="N32" s="291"/>
      <c r="O32" s="289" t="s">
        <v>116</v>
      </c>
      <c r="P32" s="556" t="s">
        <v>126</v>
      </c>
      <c r="Q32" s="556"/>
      <c r="R32" s="556"/>
      <c r="S32" s="296"/>
      <c r="T32" s="289" t="s">
        <v>117</v>
      </c>
      <c r="U32" s="513" t="s">
        <v>118</v>
      </c>
      <c r="V32" s="513"/>
      <c r="W32" s="513"/>
      <c r="X32" s="513"/>
      <c r="Y32" s="513"/>
      <c r="Z32" s="513"/>
      <c r="AA32" s="513"/>
      <c r="AB32" s="513"/>
      <c r="AC32" s="469" t="s">
        <v>4309</v>
      </c>
      <c r="AD32" s="469"/>
      <c r="AE32" s="627" t="s">
        <v>4308</v>
      </c>
      <c r="AF32" s="627"/>
      <c r="AG32" s="476" t="s">
        <v>4307</v>
      </c>
      <c r="AH32" s="476"/>
      <c r="AI32" s="476"/>
      <c r="AJ32" s="476" t="s">
        <v>4306</v>
      </c>
      <c r="AK32" s="476"/>
      <c r="AL32" s="476"/>
      <c r="AM32" s="476"/>
      <c r="AN32" s="559" t="s">
        <v>4305</v>
      </c>
      <c r="AO32" s="559"/>
      <c r="AP32" s="462" t="s">
        <v>119</v>
      </c>
      <c r="AQ32" s="462"/>
      <c r="AR32" s="462" t="s">
        <v>129</v>
      </c>
      <c r="AS32" s="462"/>
      <c r="AT32" s="462"/>
      <c r="AU32" s="303" t="b">
        <v>0</v>
      </c>
      <c r="AW32" s="309" t="str">
        <f>职业!BT23</f>
        <v/>
      </c>
      <c r="AX32" s="463"/>
      <c r="AY32" s="464"/>
      <c r="AZ32" s="464"/>
      <c r="BA32" s="464"/>
      <c r="BB32" s="465"/>
      <c r="BC32" s="457"/>
      <c r="BD32" s="457"/>
      <c r="BE32" s="457"/>
      <c r="BF32" s="457"/>
      <c r="BG32" s="457"/>
      <c r="BH32" s="457"/>
      <c r="BI32" s="457"/>
      <c r="BJ32" s="457"/>
      <c r="BK32" s="457"/>
      <c r="BL32" s="457"/>
      <c r="BM32" s="457"/>
      <c r="BN32" s="457"/>
      <c r="BO32" s="457"/>
      <c r="BP32" s="457"/>
      <c r="BQ32" s="457"/>
      <c r="BR32" s="457"/>
      <c r="BS32" s="272"/>
      <c r="BT32" s="462" t="s">
        <v>38</v>
      </c>
      <c r="BU32" s="462"/>
      <c r="BV32" s="462"/>
      <c r="BW32" s="462"/>
      <c r="BX32" s="462"/>
      <c r="BY32" s="462"/>
      <c r="BZ32" s="462" t="s">
        <v>39</v>
      </c>
      <c r="CA32" s="462"/>
      <c r="CB32" s="462"/>
      <c r="CC32" s="462"/>
      <c r="CD32" s="462"/>
      <c r="CE32" s="462"/>
      <c r="CF32" s="462"/>
      <c r="CG32" s="462"/>
      <c r="CH32" s="462"/>
      <c r="CI32" s="462"/>
      <c r="CJ32" s="462"/>
      <c r="CK32" s="462"/>
      <c r="CL32" s="462"/>
      <c r="CM32" s="462"/>
      <c r="CN32" s="462"/>
      <c r="CO32" s="462"/>
    </row>
    <row r="33" spans="1:93" ht="16.649999999999999" customHeight="1" x14ac:dyDescent="0.25">
      <c r="A33" s="279"/>
      <c r="B33" s="281" t="s">
        <v>4403</v>
      </c>
      <c r="C33" s="478" t="s">
        <v>130</v>
      </c>
      <c r="D33" s="478"/>
      <c r="E33" s="478"/>
      <c r="F33" s="479"/>
      <c r="G33" s="479"/>
      <c r="H33" s="278" t="s">
        <v>78</v>
      </c>
      <c r="I33" s="480">
        <f>R14+F33+IF(B33="O",S3,(IF(B33="🅞",S3*2,IF(J29="是",INT(S3/2),0))))</f>
        <v>0</v>
      </c>
      <c r="J33" s="481"/>
      <c r="K33" s="275"/>
      <c r="L33" s="535"/>
      <c r="M33" s="535"/>
      <c r="N33" s="535"/>
      <c r="O33" s="118" t="s">
        <v>76</v>
      </c>
      <c r="P33" s="543"/>
      <c r="Q33" s="543"/>
      <c r="R33" s="543"/>
      <c r="S33" s="543"/>
      <c r="T33" s="297"/>
      <c r="U33" s="539" t="str">
        <f>装备!S2</f>
        <v/>
      </c>
      <c r="V33" s="540"/>
      <c r="W33" s="540"/>
      <c r="X33" s="540"/>
      <c r="Y33" s="540"/>
      <c r="Z33" s="540"/>
      <c r="AA33" s="540"/>
      <c r="AB33" s="541"/>
      <c r="AC33" s="554" t="str">
        <f>装备!V2</f>
        <v/>
      </c>
      <c r="AD33" s="555"/>
      <c r="AE33" s="118" t="s">
        <v>131</v>
      </c>
      <c r="AF33" s="557" t="s">
        <v>4303</v>
      </c>
      <c r="AG33" s="558"/>
      <c r="AH33" s="547" t="str">
        <f>装备!W2</f>
        <v/>
      </c>
      <c r="AI33" s="547"/>
      <c r="AJ33" s="628" t="str">
        <f>装备!T2</f>
        <v/>
      </c>
      <c r="AK33" s="516"/>
      <c r="AL33" s="543" t="str">
        <f>装备!Z2</f>
        <v/>
      </c>
      <c r="AM33" s="545"/>
      <c r="AN33" s="546" t="str">
        <f>装备!U2</f>
        <v/>
      </c>
      <c r="AO33" s="545"/>
      <c r="AP33" s="521" t="str">
        <f>装备!AA2</f>
        <v/>
      </c>
      <c r="AQ33" s="521"/>
      <c r="AR33" s="304" t="s">
        <v>132</v>
      </c>
      <c r="AS33" s="387">
        <v>0</v>
      </c>
      <c r="AT33" s="389"/>
      <c r="AW33" s="308" t="str">
        <f>职业!BT24</f>
        <v/>
      </c>
      <c r="AX33" s="458"/>
      <c r="AY33" s="459"/>
      <c r="AZ33" s="459"/>
      <c r="BA33" s="459"/>
      <c r="BB33" s="460"/>
      <c r="BC33" s="461"/>
      <c r="BD33" s="461"/>
      <c r="BE33" s="461"/>
      <c r="BF33" s="461"/>
      <c r="BG33" s="461"/>
      <c r="BH33" s="461"/>
      <c r="BI33" s="461"/>
      <c r="BJ33" s="461"/>
      <c r="BK33" s="461"/>
      <c r="BL33" s="461"/>
      <c r="BM33" s="461"/>
      <c r="BN33" s="461"/>
      <c r="BO33" s="461"/>
      <c r="BP33" s="461"/>
      <c r="BQ33" s="461"/>
      <c r="BR33" s="461"/>
      <c r="BS33" s="272"/>
      <c r="BT33" s="551"/>
      <c r="BU33" s="551"/>
      <c r="BV33" s="551"/>
      <c r="BW33" s="551"/>
      <c r="BX33" s="551"/>
      <c r="BY33" s="551"/>
      <c r="BZ33" s="461"/>
      <c r="CA33" s="461"/>
      <c r="CB33" s="461"/>
      <c r="CC33" s="461"/>
      <c r="CD33" s="461"/>
      <c r="CE33" s="461"/>
      <c r="CF33" s="461"/>
      <c r="CG33" s="461"/>
      <c r="CH33" s="461"/>
      <c r="CI33" s="461"/>
      <c r="CJ33" s="461"/>
      <c r="CK33" s="461"/>
      <c r="CL33" s="461"/>
      <c r="CM33" s="461"/>
      <c r="CN33" s="461"/>
      <c r="CO33" s="461"/>
    </row>
    <row r="34" spans="1:93" ht="16.649999999999999" customHeight="1" x14ac:dyDescent="0.25">
      <c r="A34" s="279"/>
      <c r="B34" s="281" t="s">
        <v>76</v>
      </c>
      <c r="C34" s="478" t="s">
        <v>133</v>
      </c>
      <c r="D34" s="478"/>
      <c r="E34" s="478"/>
      <c r="F34" s="479"/>
      <c r="G34" s="479"/>
      <c r="H34" s="278" t="s">
        <v>78</v>
      </c>
      <c r="I34" s="480">
        <f>R14+F34+IF(B34="O",S3,(IF(B34="🅞",S3*2,IF(J29="是",INT(S3/2),0))))</f>
        <v>0</v>
      </c>
      <c r="J34" s="481"/>
      <c r="K34" s="275"/>
      <c r="L34" s="535"/>
      <c r="M34" s="535"/>
      <c r="N34" s="535"/>
      <c r="O34" s="118" t="s">
        <v>76</v>
      </c>
      <c r="P34" s="536"/>
      <c r="Q34" s="536"/>
      <c r="R34" s="536"/>
      <c r="S34" s="536"/>
      <c r="T34" s="298"/>
      <c r="U34" s="548" t="str">
        <f>装备!S3</f>
        <v/>
      </c>
      <c r="V34" s="549"/>
      <c r="W34" s="549"/>
      <c r="X34" s="549"/>
      <c r="Y34" s="549"/>
      <c r="Z34" s="549"/>
      <c r="AA34" s="549"/>
      <c r="AB34" s="550"/>
      <c r="AC34" s="384" t="str">
        <f>装备!V3</f>
        <v/>
      </c>
      <c r="AD34" s="386"/>
      <c r="AE34" s="118" t="s">
        <v>131</v>
      </c>
      <c r="AF34" s="537" t="s">
        <v>4303</v>
      </c>
      <c r="AG34" s="537"/>
      <c r="AH34" s="553" t="str">
        <f>装备!W3</f>
        <v/>
      </c>
      <c r="AI34" s="553"/>
      <c r="AJ34" s="629" t="str">
        <f>装备!T3</f>
        <v/>
      </c>
      <c r="AK34" s="526"/>
      <c r="AL34" s="536" t="str">
        <f>装备!Z3</f>
        <v/>
      </c>
      <c r="AM34" s="538"/>
      <c r="AN34" s="542" t="str">
        <f>装备!U3</f>
        <v/>
      </c>
      <c r="AO34" s="538"/>
      <c r="AP34" s="531" t="str">
        <f>装备!AA3</f>
        <v/>
      </c>
      <c r="AQ34" s="531"/>
      <c r="AR34" s="304" t="s">
        <v>134</v>
      </c>
      <c r="AS34" s="384">
        <v>0</v>
      </c>
      <c r="AT34" s="386"/>
      <c r="AW34" s="309" t="str">
        <f>职业!BT25</f>
        <v/>
      </c>
      <c r="AX34" s="463"/>
      <c r="AY34" s="464"/>
      <c r="AZ34" s="464"/>
      <c r="BA34" s="464"/>
      <c r="BB34" s="465"/>
      <c r="BC34" s="457"/>
      <c r="BD34" s="457"/>
      <c r="BE34" s="457"/>
      <c r="BF34" s="457"/>
      <c r="BG34" s="457"/>
      <c r="BH34" s="457"/>
      <c r="BI34" s="457"/>
      <c r="BJ34" s="457"/>
      <c r="BK34" s="457"/>
      <c r="BL34" s="457"/>
      <c r="BM34" s="457"/>
      <c r="BN34" s="457"/>
      <c r="BO34" s="457"/>
      <c r="BP34" s="457"/>
      <c r="BQ34" s="457"/>
      <c r="BR34" s="457"/>
      <c r="BS34" s="272"/>
      <c r="BT34" s="552"/>
      <c r="BU34" s="552"/>
      <c r="BV34" s="552"/>
      <c r="BW34" s="552"/>
      <c r="BX34" s="552"/>
      <c r="BY34" s="552"/>
      <c r="BZ34" s="457"/>
      <c r="CA34" s="457"/>
      <c r="CB34" s="457"/>
      <c r="CC34" s="457"/>
      <c r="CD34" s="457"/>
      <c r="CE34" s="457"/>
      <c r="CF34" s="457"/>
      <c r="CG34" s="457"/>
      <c r="CH34" s="457"/>
      <c r="CI34" s="457"/>
      <c r="CJ34" s="457"/>
      <c r="CK34" s="457"/>
      <c r="CL34" s="457"/>
      <c r="CM34" s="457"/>
      <c r="CN34" s="457"/>
      <c r="CO34" s="457"/>
    </row>
    <row r="35" spans="1:93" ht="16.649999999999999" customHeight="1" x14ac:dyDescent="0.25">
      <c r="A35" s="279"/>
      <c r="B35" s="281" t="s">
        <v>76</v>
      </c>
      <c r="C35" s="478" t="s">
        <v>135</v>
      </c>
      <c r="D35" s="478"/>
      <c r="E35" s="478"/>
      <c r="F35" s="479"/>
      <c r="G35" s="479"/>
      <c r="H35" s="278" t="s">
        <v>78</v>
      </c>
      <c r="I35" s="480">
        <f>R14+F35+IF(B35="O",S3,(IF(B35="🅞",S3*2,IF(J29="是",INT(S3/2),0))))</f>
        <v>0</v>
      </c>
      <c r="J35" s="481"/>
      <c r="K35" s="275"/>
      <c r="L35" s="535"/>
      <c r="M35" s="535"/>
      <c r="N35" s="535"/>
      <c r="O35" s="118" t="s">
        <v>76</v>
      </c>
      <c r="P35" s="543"/>
      <c r="Q35" s="543"/>
      <c r="R35" s="543"/>
      <c r="S35" s="543"/>
      <c r="T35" s="297"/>
      <c r="U35" s="539" t="str">
        <f>装备!S4</f>
        <v/>
      </c>
      <c r="V35" s="540"/>
      <c r="W35" s="540"/>
      <c r="X35" s="540"/>
      <c r="Y35" s="540"/>
      <c r="Z35" s="540"/>
      <c r="AA35" s="540"/>
      <c r="AB35" s="541"/>
      <c r="AC35" s="554" t="str">
        <f>装备!V4</f>
        <v/>
      </c>
      <c r="AD35" s="555"/>
      <c r="AE35" s="118" t="s">
        <v>4304</v>
      </c>
      <c r="AF35" s="544" t="s">
        <v>4303</v>
      </c>
      <c r="AG35" s="544"/>
      <c r="AH35" s="547" t="str">
        <f>装备!W4</f>
        <v/>
      </c>
      <c r="AI35" s="547"/>
      <c r="AJ35" s="628" t="str">
        <f>装备!T4</f>
        <v/>
      </c>
      <c r="AK35" s="516"/>
      <c r="AL35" s="543" t="str">
        <f>装备!Z4</f>
        <v/>
      </c>
      <c r="AM35" s="545"/>
      <c r="AN35" s="546" t="str">
        <f>装备!U4</f>
        <v/>
      </c>
      <c r="AO35" s="545"/>
      <c r="AP35" s="521" t="str">
        <f>装备!AA4</f>
        <v/>
      </c>
      <c r="AQ35" s="521"/>
      <c r="AR35" s="304" t="s">
        <v>136</v>
      </c>
      <c r="AS35" s="387">
        <v>0</v>
      </c>
      <c r="AT35" s="389"/>
      <c r="AW35" s="308" t="str">
        <f>职业!BT26</f>
        <v/>
      </c>
      <c r="AX35" s="458"/>
      <c r="AY35" s="459"/>
      <c r="AZ35" s="459"/>
      <c r="BA35" s="459"/>
      <c r="BB35" s="460"/>
      <c r="BC35" s="461"/>
      <c r="BD35" s="461"/>
      <c r="BE35" s="461"/>
      <c r="BF35" s="461"/>
      <c r="BG35" s="461"/>
      <c r="BH35" s="461"/>
      <c r="BI35" s="461"/>
      <c r="BJ35" s="461"/>
      <c r="BK35" s="461"/>
      <c r="BL35" s="461"/>
      <c r="BM35" s="461"/>
      <c r="BN35" s="461"/>
      <c r="BO35" s="461"/>
      <c r="BP35" s="461"/>
      <c r="BQ35" s="461"/>
      <c r="BR35" s="461"/>
      <c r="BS35" s="272"/>
      <c r="BT35" s="551"/>
      <c r="BU35" s="551"/>
      <c r="BV35" s="551"/>
      <c r="BW35" s="551"/>
      <c r="BX35" s="551"/>
      <c r="BY35" s="551"/>
      <c r="BZ35" s="461"/>
      <c r="CA35" s="461"/>
      <c r="CB35" s="461"/>
      <c r="CC35" s="461"/>
      <c r="CD35" s="461"/>
      <c r="CE35" s="461"/>
      <c r="CF35" s="461"/>
      <c r="CG35" s="461"/>
      <c r="CH35" s="461"/>
      <c r="CI35" s="461"/>
      <c r="CJ35" s="461"/>
      <c r="CK35" s="461"/>
      <c r="CL35" s="461"/>
      <c r="CM35" s="461"/>
      <c r="CN35" s="461"/>
      <c r="CO35" s="461"/>
    </row>
    <row r="36" spans="1:93" ht="16.649999999999999" customHeight="1" x14ac:dyDescent="0.25">
      <c r="A36" s="279"/>
      <c r="B36" s="415" t="s">
        <v>137</v>
      </c>
      <c r="C36" s="415"/>
      <c r="D36" s="415"/>
      <c r="E36" s="415"/>
      <c r="F36" s="415"/>
      <c r="G36" s="415"/>
      <c r="H36" s="280"/>
      <c r="I36" s="290"/>
      <c r="J36" s="290"/>
      <c r="K36" s="275"/>
      <c r="L36" s="535"/>
      <c r="M36" s="535"/>
      <c r="N36" s="535"/>
      <c r="O36" s="118" t="s">
        <v>76</v>
      </c>
      <c r="P36" s="536"/>
      <c r="Q36" s="536"/>
      <c r="R36" s="536"/>
      <c r="S36" s="536"/>
      <c r="T36" s="298"/>
      <c r="U36" s="548" t="str">
        <f>装备!S5</f>
        <v/>
      </c>
      <c r="V36" s="549"/>
      <c r="W36" s="549"/>
      <c r="X36" s="549"/>
      <c r="Y36" s="549"/>
      <c r="Z36" s="549"/>
      <c r="AA36" s="549"/>
      <c r="AB36" s="550"/>
      <c r="AC36" s="384" t="str">
        <f>装备!V5</f>
        <v/>
      </c>
      <c r="AD36" s="386"/>
      <c r="AE36" s="118" t="s">
        <v>4304</v>
      </c>
      <c r="AF36" s="537" t="s">
        <v>4303</v>
      </c>
      <c r="AG36" s="537"/>
      <c r="AH36" s="553" t="str">
        <f>装备!W5</f>
        <v/>
      </c>
      <c r="AI36" s="553"/>
      <c r="AJ36" s="629" t="str">
        <f>装备!T5</f>
        <v/>
      </c>
      <c r="AK36" s="526"/>
      <c r="AL36" s="536"/>
      <c r="AM36" s="538"/>
      <c r="AN36" s="542" t="str">
        <f>装备!U5</f>
        <v/>
      </c>
      <c r="AO36" s="538"/>
      <c r="AP36" s="531" t="str">
        <f>装备!AA5</f>
        <v/>
      </c>
      <c r="AQ36" s="531"/>
      <c r="AR36" s="304" t="s">
        <v>138</v>
      </c>
      <c r="AS36" s="384">
        <v>0</v>
      </c>
      <c r="AT36" s="386"/>
      <c r="AW36" s="309" t="str">
        <f>职业!BT27</f>
        <v/>
      </c>
      <c r="AX36" s="463"/>
      <c r="AY36" s="464"/>
      <c r="AZ36" s="464"/>
      <c r="BA36" s="464"/>
      <c r="BB36" s="465"/>
      <c r="BC36" s="457"/>
      <c r="BD36" s="457"/>
      <c r="BE36" s="457"/>
      <c r="BF36" s="457"/>
      <c r="BG36" s="457"/>
      <c r="BH36" s="457"/>
      <c r="BI36" s="457"/>
      <c r="BJ36" s="457"/>
      <c r="BK36" s="457"/>
      <c r="BL36" s="457"/>
      <c r="BM36" s="457"/>
      <c r="BN36" s="457"/>
      <c r="BO36" s="457"/>
      <c r="BP36" s="457"/>
      <c r="BQ36" s="457"/>
      <c r="BR36" s="457"/>
      <c r="BS36" s="272"/>
      <c r="BT36" s="552"/>
      <c r="BU36" s="552"/>
      <c r="BV36" s="552"/>
      <c r="BW36" s="552"/>
      <c r="BX36" s="552"/>
      <c r="BY36" s="552"/>
      <c r="BZ36" s="457"/>
      <c r="CA36" s="457"/>
      <c r="CB36" s="457"/>
      <c r="CC36" s="457"/>
      <c r="CD36" s="457"/>
      <c r="CE36" s="457"/>
      <c r="CF36" s="457"/>
      <c r="CG36" s="457"/>
      <c r="CH36" s="457"/>
      <c r="CI36" s="457"/>
      <c r="CJ36" s="457"/>
      <c r="CK36" s="457"/>
      <c r="CL36" s="457"/>
      <c r="CM36" s="457"/>
      <c r="CN36" s="457"/>
      <c r="CO36" s="457"/>
    </row>
    <row r="37" spans="1:93" ht="16.649999999999999" customHeight="1" x14ac:dyDescent="0.25">
      <c r="A37" s="279"/>
      <c r="B37" s="281" t="s">
        <v>76</v>
      </c>
      <c r="C37" s="478" t="s">
        <v>139</v>
      </c>
      <c r="D37" s="478"/>
      <c r="E37" s="478"/>
      <c r="F37" s="479"/>
      <c r="G37" s="479"/>
      <c r="H37" s="278" t="s">
        <v>78</v>
      </c>
      <c r="I37" s="480">
        <f>R16+F37+IF(B37="O",S3,(IF(B37="🅞",S3*2,IF(J29="是",INT(S3/2),0))))</f>
        <v>0</v>
      </c>
      <c r="J37" s="481"/>
      <c r="K37" s="275"/>
      <c r="L37" s="535"/>
      <c r="M37" s="535"/>
      <c r="N37" s="535"/>
      <c r="O37" s="118" t="s">
        <v>76</v>
      </c>
      <c r="P37" s="543"/>
      <c r="Q37" s="543"/>
      <c r="R37" s="543"/>
      <c r="S37" s="543"/>
      <c r="T37" s="297"/>
      <c r="U37" s="539" t="str">
        <f>装备!S6</f>
        <v/>
      </c>
      <c r="V37" s="540"/>
      <c r="W37" s="540"/>
      <c r="X37" s="540"/>
      <c r="Y37" s="540"/>
      <c r="Z37" s="540"/>
      <c r="AA37" s="540"/>
      <c r="AB37" s="541"/>
      <c r="AC37" s="554" t="str">
        <f>装备!V6</f>
        <v/>
      </c>
      <c r="AD37" s="555"/>
      <c r="AE37" s="118" t="s">
        <v>4304</v>
      </c>
      <c r="AF37" s="544" t="s">
        <v>4303</v>
      </c>
      <c r="AG37" s="544"/>
      <c r="AH37" s="547" t="str">
        <f>装备!W6</f>
        <v/>
      </c>
      <c r="AI37" s="547"/>
      <c r="AJ37" s="628" t="str">
        <f>装备!T6</f>
        <v/>
      </c>
      <c r="AK37" s="516"/>
      <c r="AL37" s="543"/>
      <c r="AM37" s="545"/>
      <c r="AN37" s="546" t="str">
        <f>装备!U6</f>
        <v/>
      </c>
      <c r="AO37" s="545"/>
      <c r="AP37" s="521" t="str">
        <f>装备!AA6</f>
        <v/>
      </c>
      <c r="AQ37" s="521"/>
      <c r="AR37" s="304" t="s">
        <v>140</v>
      </c>
      <c r="AS37" s="387">
        <v>0</v>
      </c>
      <c r="AT37" s="389"/>
      <c r="AW37" s="308" t="str">
        <f>职业!BT28</f>
        <v/>
      </c>
      <c r="AX37" s="458"/>
      <c r="AY37" s="459"/>
      <c r="AZ37" s="459"/>
      <c r="BA37" s="459"/>
      <c r="BB37" s="460"/>
      <c r="BC37" s="461"/>
      <c r="BD37" s="461"/>
      <c r="BE37" s="461"/>
      <c r="BF37" s="461"/>
      <c r="BG37" s="461"/>
      <c r="BH37" s="461"/>
      <c r="BI37" s="461"/>
      <c r="BJ37" s="461"/>
      <c r="BK37" s="461"/>
      <c r="BL37" s="461"/>
      <c r="BM37" s="461"/>
      <c r="BN37" s="461"/>
      <c r="BO37" s="461"/>
      <c r="BP37" s="461"/>
      <c r="BQ37" s="461"/>
      <c r="BR37" s="461"/>
      <c r="BS37" s="272"/>
    </row>
    <row r="38" spans="1:93" ht="16.649999999999999" customHeight="1" x14ac:dyDescent="0.35">
      <c r="A38" s="279"/>
      <c r="B38" s="281" t="s">
        <v>76</v>
      </c>
      <c r="C38" s="478" t="s">
        <v>141</v>
      </c>
      <c r="D38" s="478"/>
      <c r="E38" s="478"/>
      <c r="F38" s="479"/>
      <c r="G38" s="479"/>
      <c r="H38" s="278" t="s">
        <v>78</v>
      </c>
      <c r="I38" s="480">
        <f>R16+F38+IF(B38="O",S3,(IF(B38="🅞",S3*2,IF(J29="是",INT(S3/2),0))))</f>
        <v>0</v>
      </c>
      <c r="J38" s="481"/>
      <c r="L38" s="462" t="s">
        <v>142</v>
      </c>
      <c r="M38" s="462"/>
      <c r="N38" s="122"/>
      <c r="O38" s="289" t="s">
        <v>116</v>
      </c>
      <c r="Q38" s="462" t="s">
        <v>38</v>
      </c>
      <c r="R38" s="462"/>
      <c r="S38" s="276"/>
      <c r="T38" s="116"/>
      <c r="U38" s="462" t="s">
        <v>118</v>
      </c>
      <c r="V38" s="462"/>
      <c r="W38" s="462"/>
      <c r="X38" s="462"/>
      <c r="Y38" s="462"/>
      <c r="Z38" s="462"/>
      <c r="AA38" s="462"/>
      <c r="AB38" s="462"/>
      <c r="AC38" s="462"/>
      <c r="AD38" s="462"/>
      <c r="AE38" s="462"/>
      <c r="AF38" s="462"/>
      <c r="AG38" s="462"/>
      <c r="AH38" s="462"/>
      <c r="AI38" s="462"/>
      <c r="AJ38" s="462"/>
      <c r="AK38" s="462"/>
      <c r="AL38" s="462"/>
      <c r="AM38" s="462"/>
      <c r="AN38" s="462"/>
      <c r="AO38" s="462"/>
      <c r="AP38" s="462"/>
      <c r="AQ38" s="462"/>
      <c r="AR38" s="462"/>
      <c r="AS38" s="462" t="s">
        <v>119</v>
      </c>
      <c r="AT38" s="462"/>
      <c r="AW38" s="309" t="str">
        <f>职业!BT29</f>
        <v/>
      </c>
      <c r="AX38" s="463"/>
      <c r="AY38" s="464"/>
      <c r="AZ38" s="464"/>
      <c r="BA38" s="464"/>
      <c r="BB38" s="465"/>
      <c r="BC38" s="457"/>
      <c r="BD38" s="457"/>
      <c r="BE38" s="457"/>
      <c r="BF38" s="457"/>
      <c r="BG38" s="457"/>
      <c r="BH38" s="457"/>
      <c r="BI38" s="457"/>
      <c r="BJ38" s="457"/>
      <c r="BK38" s="457"/>
      <c r="BL38" s="457"/>
      <c r="BM38" s="457"/>
      <c r="BN38" s="457"/>
      <c r="BO38" s="457"/>
      <c r="BP38" s="457"/>
      <c r="BQ38" s="457"/>
      <c r="BR38" s="457"/>
      <c r="BS38" s="272"/>
      <c r="BT38" s="466" t="s">
        <v>104</v>
      </c>
      <c r="BU38" s="466"/>
      <c r="BV38" s="466"/>
      <c r="BW38" s="466"/>
      <c r="BX38" s="466"/>
      <c r="BY38" s="466"/>
      <c r="BZ38" s="466"/>
      <c r="CA38" s="466"/>
      <c r="CB38" s="466"/>
      <c r="CC38" s="466"/>
      <c r="CD38" s="466"/>
      <c r="CE38" s="466"/>
      <c r="CF38" s="466"/>
      <c r="CG38" s="466"/>
      <c r="CH38" s="466"/>
      <c r="CI38" s="466"/>
      <c r="CJ38" s="466"/>
      <c r="CK38" s="466"/>
      <c r="CL38" s="466"/>
      <c r="CM38" s="466"/>
      <c r="CN38" s="466"/>
      <c r="CO38" s="466"/>
    </row>
    <row r="39" spans="1:93" ht="16.649999999999999" customHeight="1" x14ac:dyDescent="0.35">
      <c r="A39" s="279"/>
      <c r="B39" s="281" t="s">
        <v>76</v>
      </c>
      <c r="C39" s="478" t="s">
        <v>143</v>
      </c>
      <c r="D39" s="478"/>
      <c r="E39" s="478"/>
      <c r="F39" s="479"/>
      <c r="G39" s="479"/>
      <c r="H39" s="278" t="s">
        <v>78</v>
      </c>
      <c r="I39" s="480">
        <f>R16+F39+IF(B39="O",S3,(IF(B39="🅞",S3*2,IF(J29="是",INT(S3/2),0))))</f>
        <v>0</v>
      </c>
      <c r="J39" s="481"/>
      <c r="L39" s="514"/>
      <c r="M39" s="514"/>
      <c r="N39" s="278" t="s">
        <v>78</v>
      </c>
      <c r="O39" s="118" t="s">
        <v>76</v>
      </c>
      <c r="P39" s="516"/>
      <c r="Q39" s="516"/>
      <c r="R39" s="516"/>
      <c r="S39" s="516"/>
      <c r="T39" s="517"/>
      <c r="U39" s="518"/>
      <c r="V39" s="519"/>
      <c r="W39" s="519"/>
      <c r="X39" s="519"/>
      <c r="Y39" s="519"/>
      <c r="Z39" s="519"/>
      <c r="AA39" s="519"/>
      <c r="AB39" s="519"/>
      <c r="AC39" s="519"/>
      <c r="AD39" s="519"/>
      <c r="AE39" s="519"/>
      <c r="AF39" s="519"/>
      <c r="AG39" s="519"/>
      <c r="AH39" s="519"/>
      <c r="AI39" s="519"/>
      <c r="AJ39" s="519"/>
      <c r="AK39" s="519"/>
      <c r="AL39" s="519"/>
      <c r="AM39" s="519"/>
      <c r="AN39" s="519"/>
      <c r="AO39" s="519"/>
      <c r="AP39" s="519"/>
      <c r="AQ39" s="519"/>
      <c r="AR39" s="520"/>
      <c r="AS39" s="521"/>
      <c r="AT39" s="521"/>
      <c r="AW39" s="308" t="str">
        <f>职业!BT30</f>
        <v/>
      </c>
      <c r="AX39" s="458"/>
      <c r="AY39" s="459"/>
      <c r="AZ39" s="459"/>
      <c r="BA39" s="459"/>
      <c r="BB39" s="460"/>
      <c r="BC39" s="461"/>
      <c r="BD39" s="461"/>
      <c r="BE39" s="461"/>
      <c r="BF39" s="461"/>
      <c r="BG39" s="461"/>
      <c r="BH39" s="461"/>
      <c r="BI39" s="461"/>
      <c r="BJ39" s="461"/>
      <c r="BK39" s="461"/>
      <c r="BL39" s="461"/>
      <c r="BM39" s="461"/>
      <c r="BN39" s="461"/>
      <c r="BO39" s="461"/>
      <c r="BP39" s="461"/>
      <c r="BQ39" s="461"/>
      <c r="BR39" s="461"/>
      <c r="BT39" s="462" t="s">
        <v>38</v>
      </c>
      <c r="BU39" s="462"/>
      <c r="BV39" s="462"/>
      <c r="BW39" s="462"/>
      <c r="BX39" s="462"/>
      <c r="BY39" s="462"/>
      <c r="BZ39" s="462" t="s">
        <v>39</v>
      </c>
      <c r="CA39" s="462"/>
      <c r="CB39" s="462"/>
      <c r="CC39" s="462"/>
      <c r="CD39" s="462"/>
      <c r="CE39" s="462"/>
      <c r="CF39" s="462"/>
      <c r="CG39" s="462"/>
      <c r="CH39" s="462"/>
      <c r="CI39" s="462"/>
      <c r="CJ39" s="462"/>
      <c r="CK39" s="462"/>
      <c r="CL39" s="462"/>
      <c r="CM39" s="462"/>
      <c r="CN39" s="462"/>
      <c r="CO39" s="462"/>
    </row>
    <row r="40" spans="1:93" ht="16.649999999999999" customHeight="1" x14ac:dyDescent="0.25">
      <c r="A40" s="279"/>
      <c r="B40" s="281" t="s">
        <v>76</v>
      </c>
      <c r="C40" s="478" t="s">
        <v>144</v>
      </c>
      <c r="D40" s="478"/>
      <c r="E40" s="478"/>
      <c r="F40" s="479"/>
      <c r="G40" s="479"/>
      <c r="H40" s="278" t="s">
        <v>78</v>
      </c>
      <c r="I40" s="480">
        <f>R16+F40+IF(B40="O",S3,(IF(B40="🅞",S3*2,IF(J29="是",INT(S3/2),0))))</f>
        <v>0</v>
      </c>
      <c r="J40" s="481"/>
      <c r="L40" s="514"/>
      <c r="M40" s="514"/>
      <c r="N40" s="278" t="s">
        <v>78</v>
      </c>
      <c r="O40" s="118" t="s">
        <v>76</v>
      </c>
      <c r="P40" s="526"/>
      <c r="Q40" s="526"/>
      <c r="R40" s="526"/>
      <c r="S40" s="526"/>
      <c r="T40" s="527"/>
      <c r="U40" s="532"/>
      <c r="V40" s="533"/>
      <c r="W40" s="533"/>
      <c r="X40" s="533"/>
      <c r="Y40" s="533"/>
      <c r="Z40" s="533"/>
      <c r="AA40" s="533"/>
      <c r="AB40" s="533"/>
      <c r="AC40" s="533"/>
      <c r="AD40" s="533"/>
      <c r="AE40" s="533"/>
      <c r="AF40" s="533"/>
      <c r="AG40" s="533"/>
      <c r="AH40" s="533"/>
      <c r="AI40" s="533"/>
      <c r="AJ40" s="533"/>
      <c r="AK40" s="533"/>
      <c r="AL40" s="533"/>
      <c r="AM40" s="533"/>
      <c r="AN40" s="533"/>
      <c r="AO40" s="533"/>
      <c r="AP40" s="533"/>
      <c r="AQ40" s="533"/>
      <c r="AR40" s="534"/>
      <c r="AS40" s="531"/>
      <c r="AT40" s="531"/>
      <c r="AW40" s="309" t="str">
        <f>职业!BT31</f>
        <v/>
      </c>
      <c r="AX40" s="463"/>
      <c r="AY40" s="464"/>
      <c r="AZ40" s="464"/>
      <c r="BA40" s="464"/>
      <c r="BB40" s="465"/>
      <c r="BC40" s="457"/>
      <c r="BD40" s="457"/>
      <c r="BE40" s="457"/>
      <c r="BF40" s="457"/>
      <c r="BG40" s="457"/>
      <c r="BH40" s="457"/>
      <c r="BI40" s="457"/>
      <c r="BJ40" s="457"/>
      <c r="BK40" s="457"/>
      <c r="BL40" s="457"/>
      <c r="BM40" s="457"/>
      <c r="BN40" s="457"/>
      <c r="BO40" s="457"/>
      <c r="BP40" s="457"/>
      <c r="BQ40" s="457"/>
      <c r="BR40" s="457"/>
      <c r="BT40" s="458"/>
      <c r="BU40" s="459"/>
      <c r="BV40" s="459"/>
      <c r="BW40" s="459"/>
      <c r="BX40" s="459"/>
      <c r="BY40" s="460"/>
      <c r="BZ40" s="461"/>
      <c r="CA40" s="461"/>
      <c r="CB40" s="461"/>
      <c r="CC40" s="461"/>
      <c r="CD40" s="461"/>
      <c r="CE40" s="461"/>
      <c r="CF40" s="461"/>
      <c r="CG40" s="461"/>
      <c r="CH40" s="461"/>
      <c r="CI40" s="461"/>
      <c r="CJ40" s="461"/>
      <c r="CK40" s="461"/>
      <c r="CL40" s="461"/>
      <c r="CM40" s="461"/>
      <c r="CN40" s="461"/>
      <c r="CO40" s="461"/>
    </row>
    <row r="41" spans="1:93" ht="16.649999999999999" customHeight="1" x14ac:dyDescent="0.25">
      <c r="A41" s="279"/>
      <c r="B41" s="281" t="s">
        <v>76</v>
      </c>
      <c r="C41" s="478" t="s">
        <v>145</v>
      </c>
      <c r="D41" s="478"/>
      <c r="E41" s="478"/>
      <c r="F41" s="479"/>
      <c r="G41" s="479"/>
      <c r="H41" s="278" t="s">
        <v>78</v>
      </c>
      <c r="I41" s="480">
        <f>R16+F41+IF(B41="O",S3,(IF(B41="🅞",S3*2,IF(J29="是",INT(S3/2),0))))</f>
        <v>0</v>
      </c>
      <c r="J41" s="481"/>
      <c r="L41" s="514"/>
      <c r="M41" s="514"/>
      <c r="N41" s="278" t="s">
        <v>78</v>
      </c>
      <c r="O41" s="118" t="s">
        <v>76</v>
      </c>
      <c r="P41" s="516"/>
      <c r="Q41" s="516"/>
      <c r="R41" s="516"/>
      <c r="S41" s="516"/>
      <c r="T41" s="517"/>
      <c r="U41" s="518"/>
      <c r="V41" s="519"/>
      <c r="W41" s="519"/>
      <c r="X41" s="519"/>
      <c r="Y41" s="519"/>
      <c r="Z41" s="519"/>
      <c r="AA41" s="519"/>
      <c r="AB41" s="519"/>
      <c r="AC41" s="519"/>
      <c r="AD41" s="519"/>
      <c r="AE41" s="519"/>
      <c r="AF41" s="519"/>
      <c r="AG41" s="519"/>
      <c r="AH41" s="519"/>
      <c r="AI41" s="519"/>
      <c r="AJ41" s="519"/>
      <c r="AK41" s="519"/>
      <c r="AL41" s="519"/>
      <c r="AM41" s="519"/>
      <c r="AN41" s="519"/>
      <c r="AO41" s="519"/>
      <c r="AP41" s="519"/>
      <c r="AQ41" s="519"/>
      <c r="AR41" s="520"/>
      <c r="AS41" s="521"/>
      <c r="AT41" s="521"/>
      <c r="AW41" s="308" t="str">
        <f>职业!BT32</f>
        <v/>
      </c>
      <c r="AX41" s="458"/>
      <c r="AY41" s="459"/>
      <c r="AZ41" s="459"/>
      <c r="BA41" s="459"/>
      <c r="BB41" s="460"/>
      <c r="BC41" s="461"/>
      <c r="BD41" s="461"/>
      <c r="BE41" s="461"/>
      <c r="BF41" s="461"/>
      <c r="BG41" s="461"/>
      <c r="BH41" s="461"/>
      <c r="BI41" s="461"/>
      <c r="BJ41" s="461"/>
      <c r="BK41" s="461"/>
      <c r="BL41" s="461"/>
      <c r="BM41" s="461"/>
      <c r="BN41" s="461"/>
      <c r="BO41" s="461"/>
      <c r="BP41" s="461"/>
      <c r="BQ41" s="461"/>
      <c r="BR41" s="461"/>
      <c r="BT41" s="463"/>
      <c r="BU41" s="464"/>
      <c r="BV41" s="464"/>
      <c r="BW41" s="464"/>
      <c r="BX41" s="464"/>
      <c r="BY41" s="465"/>
      <c r="BZ41" s="457"/>
      <c r="CA41" s="457"/>
      <c r="CB41" s="457"/>
      <c r="CC41" s="457"/>
      <c r="CD41" s="457"/>
      <c r="CE41" s="457"/>
      <c r="CF41" s="457"/>
      <c r="CG41" s="457"/>
      <c r="CH41" s="457"/>
      <c r="CI41" s="457"/>
      <c r="CJ41" s="457"/>
      <c r="CK41" s="457"/>
      <c r="CL41" s="457"/>
      <c r="CM41" s="457"/>
      <c r="CN41" s="457"/>
      <c r="CO41" s="457"/>
    </row>
    <row r="42" spans="1:93" ht="16.649999999999999" customHeight="1" x14ac:dyDescent="0.35">
      <c r="A42" s="279"/>
      <c r="B42" s="462" t="s">
        <v>146</v>
      </c>
      <c r="C42" s="462"/>
      <c r="D42" s="462"/>
      <c r="E42" s="462"/>
      <c r="F42" s="462"/>
      <c r="G42" s="462"/>
      <c r="H42" s="280"/>
      <c r="I42" s="290"/>
      <c r="J42" s="290"/>
      <c r="L42" s="514"/>
      <c r="M42" s="514"/>
      <c r="N42" s="278" t="s">
        <v>78</v>
      </c>
      <c r="O42" s="118" t="s">
        <v>76</v>
      </c>
      <c r="P42" s="526"/>
      <c r="Q42" s="526"/>
      <c r="R42" s="526"/>
      <c r="S42" s="526"/>
      <c r="T42" s="527"/>
      <c r="U42" s="532"/>
      <c r="V42" s="533"/>
      <c r="W42" s="533"/>
      <c r="X42" s="533"/>
      <c r="Y42" s="533"/>
      <c r="Z42" s="533"/>
      <c r="AA42" s="533"/>
      <c r="AB42" s="533"/>
      <c r="AC42" s="533"/>
      <c r="AD42" s="533"/>
      <c r="AE42" s="533"/>
      <c r="AF42" s="533"/>
      <c r="AG42" s="533"/>
      <c r="AH42" s="533"/>
      <c r="AI42" s="533"/>
      <c r="AJ42" s="533"/>
      <c r="AK42" s="533"/>
      <c r="AL42" s="533"/>
      <c r="AM42" s="533"/>
      <c r="AN42" s="533"/>
      <c r="AO42" s="533"/>
      <c r="AP42" s="533"/>
      <c r="AQ42" s="533"/>
      <c r="AR42" s="534"/>
      <c r="AS42" s="531"/>
      <c r="AT42" s="531"/>
      <c r="AW42" s="309" t="str">
        <f>职业!BT33</f>
        <v/>
      </c>
      <c r="AX42" s="463"/>
      <c r="AY42" s="464"/>
      <c r="AZ42" s="464"/>
      <c r="BA42" s="464"/>
      <c r="BB42" s="465"/>
      <c r="BC42" s="457"/>
      <c r="BD42" s="457"/>
      <c r="BE42" s="457"/>
      <c r="BF42" s="457"/>
      <c r="BG42" s="457"/>
      <c r="BH42" s="457"/>
      <c r="BI42" s="457"/>
      <c r="BJ42" s="457"/>
      <c r="BK42" s="457"/>
      <c r="BL42" s="457"/>
      <c r="BM42" s="457"/>
      <c r="BN42" s="457"/>
      <c r="BO42" s="457"/>
      <c r="BP42" s="457"/>
      <c r="BQ42" s="457"/>
      <c r="BR42" s="457"/>
      <c r="BT42" s="458"/>
      <c r="BU42" s="459"/>
      <c r="BV42" s="459"/>
      <c r="BW42" s="459"/>
      <c r="BX42" s="459"/>
      <c r="BY42" s="460"/>
      <c r="BZ42" s="461"/>
      <c r="CA42" s="461"/>
      <c r="CB42" s="461"/>
      <c r="CC42" s="461"/>
      <c r="CD42" s="461"/>
      <c r="CE42" s="461"/>
      <c r="CF42" s="461"/>
      <c r="CG42" s="461"/>
      <c r="CH42" s="461"/>
      <c r="CI42" s="461"/>
      <c r="CJ42" s="461"/>
      <c r="CK42" s="461"/>
      <c r="CL42" s="461"/>
      <c r="CM42" s="461"/>
      <c r="CN42" s="461"/>
      <c r="CO42" s="461"/>
    </row>
    <row r="43" spans="1:93" ht="16.649999999999999" customHeight="1" x14ac:dyDescent="0.25">
      <c r="A43" s="279"/>
      <c r="B43" s="281" t="s">
        <v>76</v>
      </c>
      <c r="C43" s="478" t="s">
        <v>147</v>
      </c>
      <c r="D43" s="478"/>
      <c r="E43" s="478"/>
      <c r="F43" s="479"/>
      <c r="G43" s="479"/>
      <c r="H43" s="278" t="s">
        <v>78</v>
      </c>
      <c r="I43" s="480">
        <f>R17+F43+IF(B43="O",S3,(IF(B43="🅞",S3*2,IF(J29="是",INT(S3/2),0))))</f>
        <v>0</v>
      </c>
      <c r="J43" s="481"/>
      <c r="L43" s="514"/>
      <c r="M43" s="514"/>
      <c r="N43" s="278" t="s">
        <v>78</v>
      </c>
      <c r="O43" s="118" t="s">
        <v>76</v>
      </c>
      <c r="P43" s="516"/>
      <c r="Q43" s="516"/>
      <c r="R43" s="516"/>
      <c r="S43" s="516"/>
      <c r="T43" s="517"/>
      <c r="U43" s="518"/>
      <c r="V43" s="519"/>
      <c r="W43" s="519"/>
      <c r="X43" s="519"/>
      <c r="Y43" s="519"/>
      <c r="Z43" s="519"/>
      <c r="AA43" s="519"/>
      <c r="AB43" s="519"/>
      <c r="AC43" s="519"/>
      <c r="AD43" s="519"/>
      <c r="AE43" s="519"/>
      <c r="AF43" s="519"/>
      <c r="AG43" s="519"/>
      <c r="AH43" s="519"/>
      <c r="AI43" s="519"/>
      <c r="AJ43" s="519"/>
      <c r="AK43" s="519"/>
      <c r="AL43" s="519"/>
      <c r="AM43" s="519"/>
      <c r="AN43" s="519"/>
      <c r="AO43" s="519"/>
      <c r="AP43" s="519"/>
      <c r="AQ43" s="519"/>
      <c r="AR43" s="520"/>
      <c r="AS43" s="521"/>
      <c r="AT43" s="521"/>
      <c r="AW43" s="308" t="str">
        <f>职业!BT34</f>
        <v/>
      </c>
      <c r="AX43" s="458"/>
      <c r="AY43" s="459"/>
      <c r="AZ43" s="459"/>
      <c r="BA43" s="459"/>
      <c r="BB43" s="460"/>
      <c r="BC43" s="461"/>
      <c r="BD43" s="461"/>
      <c r="BE43" s="461"/>
      <c r="BF43" s="461"/>
      <c r="BG43" s="461"/>
      <c r="BH43" s="461"/>
      <c r="BI43" s="461"/>
      <c r="BJ43" s="461"/>
      <c r="BK43" s="461"/>
      <c r="BL43" s="461"/>
      <c r="BM43" s="461"/>
      <c r="BN43" s="461"/>
      <c r="BO43" s="461"/>
      <c r="BP43" s="461"/>
      <c r="BQ43" s="461"/>
      <c r="BR43" s="461"/>
      <c r="BT43" s="463"/>
      <c r="BU43" s="464"/>
      <c r="BV43" s="464"/>
      <c r="BW43" s="464"/>
      <c r="BX43" s="464"/>
      <c r="BY43" s="465"/>
      <c r="BZ43" s="457"/>
      <c r="CA43" s="457"/>
      <c r="CB43" s="457"/>
      <c r="CC43" s="457"/>
      <c r="CD43" s="457"/>
      <c r="CE43" s="457"/>
      <c r="CF43" s="457"/>
      <c r="CG43" s="457"/>
      <c r="CH43" s="457"/>
      <c r="CI43" s="457"/>
      <c r="CJ43" s="457"/>
      <c r="CK43" s="457"/>
      <c r="CL43" s="457"/>
      <c r="CM43" s="457"/>
      <c r="CN43" s="457"/>
      <c r="CO43" s="457"/>
    </row>
    <row r="44" spans="1:93" ht="16.649999999999999" customHeight="1" x14ac:dyDescent="0.25">
      <c r="A44" s="279"/>
      <c r="B44" s="281" t="s">
        <v>76</v>
      </c>
      <c r="C44" s="478" t="s">
        <v>148</v>
      </c>
      <c r="D44" s="478"/>
      <c r="E44" s="478"/>
      <c r="F44" s="479"/>
      <c r="G44" s="479"/>
      <c r="H44" s="278" t="s">
        <v>78</v>
      </c>
      <c r="I44" s="480">
        <f>R17+F44+IF(B44="O",S3,(IF(B44="🅞",S3*2,IF(J29="是",INT(S3/2),0))))</f>
        <v>0</v>
      </c>
      <c r="J44" s="481"/>
      <c r="L44" s="514"/>
      <c r="M44" s="514"/>
      <c r="N44" s="278" t="s">
        <v>78</v>
      </c>
      <c r="O44" s="118" t="s">
        <v>76</v>
      </c>
      <c r="P44" s="526"/>
      <c r="Q44" s="526"/>
      <c r="R44" s="526"/>
      <c r="S44" s="526"/>
      <c r="T44" s="527"/>
      <c r="U44" s="532"/>
      <c r="V44" s="533"/>
      <c r="W44" s="533"/>
      <c r="X44" s="533"/>
      <c r="Y44" s="533"/>
      <c r="Z44" s="533"/>
      <c r="AA44" s="533"/>
      <c r="AB44" s="533"/>
      <c r="AC44" s="533"/>
      <c r="AD44" s="533"/>
      <c r="AE44" s="533"/>
      <c r="AF44" s="533"/>
      <c r="AG44" s="533"/>
      <c r="AH44" s="533"/>
      <c r="AI44" s="533"/>
      <c r="AJ44" s="533"/>
      <c r="AK44" s="533"/>
      <c r="AL44" s="533"/>
      <c r="AM44" s="533"/>
      <c r="AN44" s="533"/>
      <c r="AO44" s="533"/>
      <c r="AP44" s="533"/>
      <c r="AQ44" s="533"/>
      <c r="AR44" s="534"/>
      <c r="AS44" s="531"/>
      <c r="AT44" s="531"/>
      <c r="AW44" s="309" t="str">
        <f>职业!BT35</f>
        <v/>
      </c>
      <c r="AX44" s="463"/>
      <c r="AY44" s="464"/>
      <c r="AZ44" s="464"/>
      <c r="BA44" s="464"/>
      <c r="BB44" s="465"/>
      <c r="BC44" s="457"/>
      <c r="BD44" s="457"/>
      <c r="BE44" s="457"/>
      <c r="BF44" s="457"/>
      <c r="BG44" s="457"/>
      <c r="BH44" s="457"/>
      <c r="BI44" s="457"/>
      <c r="BJ44" s="457"/>
      <c r="BK44" s="457"/>
      <c r="BL44" s="457"/>
      <c r="BM44" s="457"/>
      <c r="BN44" s="457"/>
      <c r="BO44" s="457"/>
      <c r="BP44" s="457"/>
      <c r="BQ44" s="457"/>
      <c r="BR44" s="457"/>
      <c r="BT44" s="458"/>
      <c r="BU44" s="459"/>
      <c r="BV44" s="459"/>
      <c r="BW44" s="459"/>
      <c r="BX44" s="459"/>
      <c r="BY44" s="460"/>
      <c r="BZ44" s="461"/>
      <c r="CA44" s="461"/>
      <c r="CB44" s="461"/>
      <c r="CC44" s="461"/>
      <c r="CD44" s="461"/>
      <c r="CE44" s="461"/>
      <c r="CF44" s="461"/>
      <c r="CG44" s="461"/>
      <c r="CH44" s="461"/>
      <c r="CI44" s="461"/>
      <c r="CJ44" s="461"/>
      <c r="CK44" s="461"/>
      <c r="CL44" s="461"/>
      <c r="CM44" s="461"/>
      <c r="CN44" s="461"/>
      <c r="CO44" s="461"/>
    </row>
    <row r="45" spans="1:93" ht="16.649999999999999" customHeight="1" x14ac:dyDescent="0.25">
      <c r="A45" s="279"/>
      <c r="B45" s="281" t="s">
        <v>76</v>
      </c>
      <c r="C45" s="478" t="s">
        <v>4727</v>
      </c>
      <c r="D45" s="478"/>
      <c r="E45" s="478"/>
      <c r="F45" s="479"/>
      <c r="G45" s="479"/>
      <c r="H45" s="278" t="s">
        <v>78</v>
      </c>
      <c r="I45" s="480">
        <f>R17+F45+IF(B45="O",S3,(IF(B45="🅞",S3*2,IF(J29="是",INT(S3/2),0))))</f>
        <v>0</v>
      </c>
      <c r="J45" s="481"/>
      <c r="L45" s="514"/>
      <c r="M45" s="514"/>
      <c r="N45" s="278" t="s">
        <v>78</v>
      </c>
      <c r="O45" s="118" t="s">
        <v>76</v>
      </c>
      <c r="P45" s="516"/>
      <c r="Q45" s="516"/>
      <c r="R45" s="516"/>
      <c r="S45" s="516"/>
      <c r="T45" s="517"/>
      <c r="U45" s="518"/>
      <c r="V45" s="519"/>
      <c r="W45" s="519"/>
      <c r="X45" s="519"/>
      <c r="Y45" s="519"/>
      <c r="Z45" s="519"/>
      <c r="AA45" s="519"/>
      <c r="AB45" s="519"/>
      <c r="AC45" s="519"/>
      <c r="AD45" s="519"/>
      <c r="AE45" s="519"/>
      <c r="AF45" s="519"/>
      <c r="AG45" s="519"/>
      <c r="AH45" s="519"/>
      <c r="AI45" s="519"/>
      <c r="AJ45" s="519"/>
      <c r="AK45" s="519"/>
      <c r="AL45" s="519"/>
      <c r="AM45" s="519"/>
      <c r="AN45" s="519"/>
      <c r="AO45" s="519"/>
      <c r="AP45" s="519"/>
      <c r="AQ45" s="519"/>
      <c r="AR45" s="520"/>
      <c r="AS45" s="521"/>
      <c r="AT45" s="521"/>
      <c r="AW45" s="308" t="str">
        <f>职业!BT36</f>
        <v/>
      </c>
      <c r="AX45" s="458"/>
      <c r="AY45" s="459"/>
      <c r="AZ45" s="459"/>
      <c r="BA45" s="459"/>
      <c r="BB45" s="460"/>
      <c r="BC45" s="461"/>
      <c r="BD45" s="461"/>
      <c r="BE45" s="461"/>
      <c r="BF45" s="461"/>
      <c r="BG45" s="461"/>
      <c r="BH45" s="461"/>
      <c r="BI45" s="461"/>
      <c r="BJ45" s="461"/>
      <c r="BK45" s="461"/>
      <c r="BL45" s="461"/>
      <c r="BM45" s="461"/>
      <c r="BN45" s="461"/>
      <c r="BO45" s="461"/>
      <c r="BP45" s="461"/>
      <c r="BQ45" s="461"/>
      <c r="BR45" s="461"/>
      <c r="BT45" s="463"/>
      <c r="BU45" s="464"/>
      <c r="BV45" s="464"/>
      <c r="BW45" s="464"/>
      <c r="BX45" s="464"/>
      <c r="BY45" s="465"/>
      <c r="BZ45" s="457"/>
      <c r="CA45" s="457"/>
      <c r="CB45" s="457"/>
      <c r="CC45" s="457"/>
      <c r="CD45" s="457"/>
      <c r="CE45" s="457"/>
      <c r="CF45" s="457"/>
      <c r="CG45" s="457"/>
      <c r="CH45" s="457"/>
      <c r="CI45" s="457"/>
      <c r="CJ45" s="457"/>
      <c r="CK45" s="457"/>
      <c r="CL45" s="457"/>
      <c r="CM45" s="457"/>
      <c r="CN45" s="457"/>
      <c r="CO45" s="457"/>
    </row>
    <row r="46" spans="1:93" ht="16.649999999999999" customHeight="1" x14ac:dyDescent="0.25">
      <c r="A46" s="279"/>
      <c r="B46" s="281" t="s">
        <v>76</v>
      </c>
      <c r="C46" s="478" t="s">
        <v>150</v>
      </c>
      <c r="D46" s="478"/>
      <c r="E46" s="478"/>
      <c r="F46" s="479"/>
      <c r="G46" s="479"/>
      <c r="H46" s="278" t="s">
        <v>78</v>
      </c>
      <c r="I46" s="480">
        <f>R17+F46+IF(B46="O",S3,(IF(B46="🅞",S3*2,IF(J29="是",INT(S3/2),0))))</f>
        <v>0</v>
      </c>
      <c r="J46" s="481"/>
      <c r="L46" s="514"/>
      <c r="M46" s="514"/>
      <c r="N46" s="278" t="s">
        <v>78</v>
      </c>
      <c r="O46" s="118" t="s">
        <v>76</v>
      </c>
      <c r="P46" s="526"/>
      <c r="Q46" s="526"/>
      <c r="R46" s="526"/>
      <c r="S46" s="526"/>
      <c r="T46" s="527"/>
      <c r="U46" s="528"/>
      <c r="V46" s="529"/>
      <c r="W46" s="529"/>
      <c r="X46" s="529"/>
      <c r="Y46" s="529"/>
      <c r="Z46" s="529"/>
      <c r="AA46" s="529"/>
      <c r="AB46" s="529"/>
      <c r="AC46" s="529"/>
      <c r="AD46" s="529"/>
      <c r="AE46" s="529"/>
      <c r="AF46" s="529"/>
      <c r="AG46" s="529"/>
      <c r="AH46" s="529"/>
      <c r="AI46" s="529"/>
      <c r="AJ46" s="529"/>
      <c r="AK46" s="529"/>
      <c r="AL46" s="529"/>
      <c r="AM46" s="529"/>
      <c r="AN46" s="529"/>
      <c r="AO46" s="529"/>
      <c r="AP46" s="529"/>
      <c r="AQ46" s="529"/>
      <c r="AR46" s="530"/>
      <c r="AS46" s="531"/>
      <c r="AT46" s="531"/>
      <c r="AW46" s="309" t="str">
        <f>职业!BT37</f>
        <v/>
      </c>
      <c r="AX46" s="463"/>
      <c r="AY46" s="464"/>
      <c r="AZ46" s="464"/>
      <c r="BA46" s="464"/>
      <c r="BB46" s="465"/>
      <c r="BC46" s="457"/>
      <c r="BD46" s="457"/>
      <c r="BE46" s="457"/>
      <c r="BF46" s="457"/>
      <c r="BG46" s="457"/>
      <c r="BH46" s="457"/>
      <c r="BI46" s="457"/>
      <c r="BJ46" s="457"/>
      <c r="BK46" s="457"/>
      <c r="BL46" s="457"/>
      <c r="BM46" s="457"/>
      <c r="BN46" s="457"/>
      <c r="BO46" s="457"/>
      <c r="BP46" s="457"/>
      <c r="BQ46" s="457"/>
      <c r="BR46" s="457"/>
      <c r="BT46" s="458"/>
      <c r="BU46" s="459"/>
      <c r="BV46" s="459"/>
      <c r="BW46" s="459"/>
      <c r="BX46" s="459"/>
      <c r="BY46" s="460"/>
      <c r="BZ46" s="461"/>
      <c r="CA46" s="461"/>
      <c r="CB46" s="461"/>
      <c r="CC46" s="461"/>
      <c r="CD46" s="461"/>
      <c r="CE46" s="461"/>
      <c r="CF46" s="461"/>
      <c r="CG46" s="461"/>
      <c r="CH46" s="461"/>
      <c r="CI46" s="461"/>
      <c r="CJ46" s="461"/>
      <c r="CK46" s="461"/>
      <c r="CL46" s="461"/>
      <c r="CM46" s="461"/>
      <c r="CN46" s="461"/>
      <c r="CO46" s="461"/>
    </row>
    <row r="47" spans="1:93" ht="16.649999999999999" customHeight="1" x14ac:dyDescent="0.25">
      <c r="A47" s="279"/>
      <c r="B47" s="281" t="s">
        <v>76</v>
      </c>
      <c r="C47" s="478" t="s">
        <v>151</v>
      </c>
      <c r="D47" s="478"/>
      <c r="E47" s="478"/>
      <c r="F47" s="479"/>
      <c r="G47" s="479"/>
      <c r="H47" s="278" t="s">
        <v>78</v>
      </c>
      <c r="I47" s="480">
        <f>R17+F47+IF(B47="O",S3,(IF(B47="🅞",S3*2,IF(J29="是",INT(S3/2),0))))</f>
        <v>0</v>
      </c>
      <c r="J47" s="481"/>
      <c r="L47" s="514"/>
      <c r="M47" s="514"/>
      <c r="N47" s="278" t="s">
        <v>78</v>
      </c>
      <c r="O47" s="118" t="s">
        <v>76</v>
      </c>
      <c r="P47" s="515"/>
      <c r="Q47" s="516"/>
      <c r="R47" s="516"/>
      <c r="S47" s="516"/>
      <c r="T47" s="517"/>
      <c r="U47" s="518"/>
      <c r="V47" s="519"/>
      <c r="W47" s="519"/>
      <c r="X47" s="519"/>
      <c r="Y47" s="519"/>
      <c r="Z47" s="519"/>
      <c r="AA47" s="519"/>
      <c r="AB47" s="519"/>
      <c r="AC47" s="519"/>
      <c r="AD47" s="519"/>
      <c r="AE47" s="519"/>
      <c r="AF47" s="519"/>
      <c r="AG47" s="519"/>
      <c r="AH47" s="519"/>
      <c r="AI47" s="519"/>
      <c r="AJ47" s="519"/>
      <c r="AK47" s="519"/>
      <c r="AL47" s="519"/>
      <c r="AM47" s="519"/>
      <c r="AN47" s="519"/>
      <c r="AO47" s="519"/>
      <c r="AP47" s="519"/>
      <c r="AQ47" s="519"/>
      <c r="AR47" s="520"/>
      <c r="AS47" s="521"/>
      <c r="AT47" s="521"/>
      <c r="AW47" s="308" t="str">
        <f>职业!BT38</f>
        <v/>
      </c>
      <c r="AX47" s="458"/>
      <c r="AY47" s="459"/>
      <c r="AZ47" s="459"/>
      <c r="BA47" s="459"/>
      <c r="BB47" s="460"/>
      <c r="BC47" s="461"/>
      <c r="BD47" s="461"/>
      <c r="BE47" s="461"/>
      <c r="BF47" s="461"/>
      <c r="BG47" s="461"/>
      <c r="BH47" s="461"/>
      <c r="BI47" s="461"/>
      <c r="BJ47" s="461"/>
      <c r="BK47" s="461"/>
      <c r="BL47" s="461"/>
      <c r="BM47" s="461"/>
      <c r="BN47" s="461"/>
      <c r="BO47" s="461"/>
      <c r="BP47" s="461"/>
      <c r="BQ47" s="461"/>
      <c r="BR47" s="461"/>
      <c r="BT47" s="463"/>
      <c r="BU47" s="464"/>
      <c r="BV47" s="464"/>
      <c r="BW47" s="464"/>
      <c r="BX47" s="464"/>
      <c r="BY47" s="465"/>
      <c r="BZ47" s="457"/>
      <c r="CA47" s="457"/>
      <c r="CB47" s="457"/>
      <c r="CC47" s="457"/>
      <c r="CD47" s="457"/>
      <c r="CE47" s="457"/>
      <c r="CF47" s="457"/>
      <c r="CG47" s="457"/>
      <c r="CH47" s="457"/>
      <c r="CI47" s="457"/>
      <c r="CJ47" s="457"/>
      <c r="CK47" s="457"/>
      <c r="CL47" s="457"/>
      <c r="CM47" s="457"/>
      <c r="CN47" s="457"/>
      <c r="CO47" s="457"/>
    </row>
    <row r="48" spans="1:93" ht="16.649999999999999" customHeight="1" x14ac:dyDescent="0.35">
      <c r="A48" s="279"/>
      <c r="B48" s="462" t="s">
        <v>152</v>
      </c>
      <c r="C48" s="462"/>
      <c r="D48" s="462"/>
      <c r="E48" s="462"/>
      <c r="F48" s="462"/>
      <c r="G48" s="462"/>
      <c r="H48" s="280"/>
      <c r="I48" s="290"/>
      <c r="J48" s="290"/>
      <c r="L48" s="462" t="s">
        <v>153</v>
      </c>
      <c r="M48" s="462"/>
      <c r="N48" s="462"/>
      <c r="O48" s="462"/>
      <c r="P48" s="462"/>
      <c r="Q48" s="462"/>
      <c r="R48" s="462"/>
      <c r="S48" s="462"/>
      <c r="T48" s="462"/>
      <c r="U48" s="462"/>
      <c r="V48" s="462"/>
      <c r="W48" s="462"/>
      <c r="X48" s="462"/>
      <c r="Y48" s="462"/>
      <c r="Z48" s="462"/>
      <c r="AA48" s="462"/>
      <c r="AB48" s="462"/>
      <c r="AC48" s="462"/>
      <c r="AD48" s="462"/>
      <c r="AE48" s="462"/>
      <c r="AG48" s="513" t="s">
        <v>154</v>
      </c>
      <c r="AH48" s="513"/>
      <c r="AI48" s="513"/>
      <c r="AJ48" s="513"/>
      <c r="AK48" s="513"/>
      <c r="AL48" s="513"/>
      <c r="AM48" s="513"/>
      <c r="AN48" s="513"/>
      <c r="AO48" s="513"/>
      <c r="AP48" s="513"/>
      <c r="AQ48" s="513"/>
      <c r="AR48" s="513"/>
      <c r="AS48" s="513"/>
      <c r="AT48" s="513"/>
      <c r="AW48" s="309" t="str">
        <f>职业!BT39</f>
        <v/>
      </c>
      <c r="AX48" s="463"/>
      <c r="AY48" s="464"/>
      <c r="AZ48" s="464"/>
      <c r="BA48" s="464"/>
      <c r="BB48" s="465"/>
      <c r="BC48" s="457"/>
      <c r="BD48" s="457"/>
      <c r="BE48" s="457"/>
      <c r="BF48" s="457"/>
      <c r="BG48" s="457"/>
      <c r="BH48" s="457"/>
      <c r="BI48" s="457"/>
      <c r="BJ48" s="457"/>
      <c r="BK48" s="457"/>
      <c r="BL48" s="457"/>
      <c r="BM48" s="457"/>
      <c r="BN48" s="457"/>
      <c r="BO48" s="457"/>
      <c r="BP48" s="457"/>
      <c r="BQ48" s="457"/>
      <c r="BR48" s="457"/>
      <c r="BT48" s="458"/>
      <c r="BU48" s="459"/>
      <c r="BV48" s="459"/>
      <c r="BW48" s="459"/>
      <c r="BX48" s="459"/>
      <c r="BY48" s="460"/>
      <c r="BZ48" s="461"/>
      <c r="CA48" s="461"/>
      <c r="CB48" s="461"/>
      <c r="CC48" s="461"/>
      <c r="CD48" s="461"/>
      <c r="CE48" s="461"/>
      <c r="CF48" s="461"/>
      <c r="CG48" s="461"/>
      <c r="CH48" s="461"/>
      <c r="CI48" s="461"/>
      <c r="CJ48" s="461"/>
      <c r="CK48" s="461"/>
      <c r="CL48" s="461"/>
      <c r="CM48" s="461"/>
      <c r="CN48" s="461"/>
      <c r="CO48" s="461"/>
    </row>
    <row r="49" spans="1:93" ht="16.649999999999999" customHeight="1" x14ac:dyDescent="0.25">
      <c r="A49" s="279"/>
      <c r="B49" s="281" t="s">
        <v>76</v>
      </c>
      <c r="C49" s="478" t="s">
        <v>155</v>
      </c>
      <c r="D49" s="478"/>
      <c r="E49" s="478"/>
      <c r="F49" s="479"/>
      <c r="G49" s="479"/>
      <c r="H49" s="278" t="s">
        <v>78</v>
      </c>
      <c r="I49" s="480">
        <f>R18+F49+IF(B49="O",S3,(IF(B49="🅞",S3*2,IF(J29="是",INT(S3/2),0))))</f>
        <v>0</v>
      </c>
      <c r="J49" s="481"/>
      <c r="L49" s="495" t="s">
        <v>110</v>
      </c>
      <c r="M49" s="496"/>
      <c r="N49" s="497"/>
      <c r="O49" s="495" t="s">
        <v>156</v>
      </c>
      <c r="P49" s="496"/>
      <c r="Q49" s="497"/>
      <c r="R49" s="495" t="s">
        <v>157</v>
      </c>
      <c r="S49" s="496"/>
      <c r="T49" s="497"/>
      <c r="U49" s="398" t="s">
        <v>78</v>
      </c>
      <c r="V49" s="495" t="s">
        <v>158</v>
      </c>
      <c r="W49" s="496"/>
      <c r="X49" s="496"/>
      <c r="Y49" s="496"/>
      <c r="Z49" s="496"/>
      <c r="AA49" s="497"/>
      <c r="AB49" s="398" t="s">
        <v>42</v>
      </c>
      <c r="AC49" s="495" t="s">
        <v>159</v>
      </c>
      <c r="AD49" s="496"/>
      <c r="AE49" s="497"/>
      <c r="AF49" s="398" t="s">
        <v>42</v>
      </c>
      <c r="AG49" s="511" t="s">
        <v>160</v>
      </c>
      <c r="AH49" s="512"/>
      <c r="AI49" s="522"/>
      <c r="AJ49" s="522"/>
      <c r="AK49" s="522"/>
      <c r="AL49" s="522"/>
      <c r="AM49" s="522"/>
      <c r="AN49" s="523" t="s">
        <v>161</v>
      </c>
      <c r="AO49" s="524"/>
      <c r="AP49" s="525"/>
      <c r="AQ49" s="525"/>
      <c r="AR49" s="525"/>
      <c r="AS49" s="525"/>
      <c r="AT49" s="525"/>
      <c r="AW49" s="308" t="str">
        <f>职业!BT40</f>
        <v/>
      </c>
      <c r="AX49" s="458"/>
      <c r="AY49" s="459"/>
      <c r="AZ49" s="459"/>
      <c r="BA49" s="459"/>
      <c r="BB49" s="460"/>
      <c r="BC49" s="461"/>
      <c r="BD49" s="461"/>
      <c r="BE49" s="461"/>
      <c r="BF49" s="461"/>
      <c r="BG49" s="461"/>
      <c r="BH49" s="461"/>
      <c r="BI49" s="461"/>
      <c r="BJ49" s="461"/>
      <c r="BK49" s="461"/>
      <c r="BL49" s="461"/>
      <c r="BM49" s="461"/>
      <c r="BN49" s="461"/>
      <c r="BO49" s="461"/>
      <c r="BP49" s="461"/>
      <c r="BQ49" s="461"/>
      <c r="BR49" s="461"/>
      <c r="BT49" s="463"/>
      <c r="BU49" s="464"/>
      <c r="BV49" s="464"/>
      <c r="BW49" s="464"/>
      <c r="BX49" s="464"/>
      <c r="BY49" s="465"/>
      <c r="BZ49" s="457"/>
      <c r="CA49" s="457"/>
      <c r="CB49" s="457"/>
      <c r="CC49" s="457"/>
      <c r="CD49" s="457"/>
      <c r="CE49" s="457"/>
      <c r="CF49" s="457"/>
      <c r="CG49" s="457"/>
      <c r="CH49" s="457"/>
      <c r="CI49" s="457"/>
      <c r="CJ49" s="457"/>
      <c r="CK49" s="457"/>
      <c r="CL49" s="457"/>
      <c r="CM49" s="457"/>
      <c r="CN49" s="457"/>
      <c r="CO49" s="457"/>
    </row>
    <row r="50" spans="1:93" ht="16.649999999999999" customHeight="1" x14ac:dyDescent="0.25">
      <c r="A50" s="279"/>
      <c r="B50" s="281" t="s">
        <v>76</v>
      </c>
      <c r="C50" s="478" t="s">
        <v>162</v>
      </c>
      <c r="D50" s="478"/>
      <c r="E50" s="478"/>
      <c r="F50" s="479"/>
      <c r="G50" s="479"/>
      <c r="H50" s="278" t="s">
        <v>78</v>
      </c>
      <c r="I50" s="480">
        <f>R18+F50+IF(B50="O",S3,(IF(B50="🅞",S3*2,IF(J29="是",INT(S3/2),0))))</f>
        <v>0</v>
      </c>
      <c r="J50" s="481"/>
      <c r="L50" s="500">
        <f>SUM(AA31,AQ31,AP33:AQ37,AS39:AT47)</f>
        <v>0</v>
      </c>
      <c r="M50" s="501"/>
      <c r="N50" s="502"/>
      <c r="O50" s="500">
        <f>背包!AS3</f>
        <v>0</v>
      </c>
      <c r="P50" s="501"/>
      <c r="Q50" s="502"/>
      <c r="R50" s="500">
        <f>背包!V27</f>
        <v>0</v>
      </c>
      <c r="S50" s="501"/>
      <c r="T50" s="502"/>
      <c r="U50" s="398"/>
      <c r="V50" s="503">
        <f>SUM(L50:T50)+AC50+AC52</f>
        <v>0</v>
      </c>
      <c r="W50" s="504"/>
      <c r="X50" s="504"/>
      <c r="Y50" s="504"/>
      <c r="Z50" s="504"/>
      <c r="AA50" s="505"/>
      <c r="AB50" s="398"/>
      <c r="AC50" s="486">
        <f>SUM(AI49:AM52,AP49)/50</f>
        <v>0</v>
      </c>
      <c r="AD50" s="487"/>
      <c r="AE50" s="488"/>
      <c r="AF50" s="398"/>
      <c r="AG50" s="506" t="s">
        <v>163</v>
      </c>
      <c r="AH50" s="507"/>
      <c r="AI50" s="379"/>
      <c r="AJ50" s="379"/>
      <c r="AK50" s="379"/>
      <c r="AL50" s="379"/>
      <c r="AM50" s="379"/>
      <c r="AN50" s="508" t="s">
        <v>164</v>
      </c>
      <c r="AO50" s="509"/>
      <c r="AP50" s="509"/>
      <c r="AQ50" s="509"/>
      <c r="AR50" s="509"/>
      <c r="AS50" s="509"/>
      <c r="AT50" s="510"/>
      <c r="AW50" s="309" t="str">
        <f>职业!BT41</f>
        <v/>
      </c>
      <c r="AX50" s="463"/>
      <c r="AY50" s="464"/>
      <c r="AZ50" s="464"/>
      <c r="BA50" s="464"/>
      <c r="BB50" s="465"/>
      <c r="BC50" s="457"/>
      <c r="BD50" s="457"/>
      <c r="BE50" s="457"/>
      <c r="BF50" s="457"/>
      <c r="BG50" s="457"/>
      <c r="BH50" s="457"/>
      <c r="BI50" s="457"/>
      <c r="BJ50" s="457"/>
      <c r="BK50" s="457"/>
      <c r="BL50" s="457"/>
      <c r="BM50" s="457"/>
      <c r="BN50" s="457"/>
      <c r="BO50" s="457"/>
      <c r="BP50" s="457"/>
      <c r="BQ50" s="457"/>
      <c r="BR50" s="457"/>
    </row>
    <row r="51" spans="1:93" ht="16.649999999999999" customHeight="1" x14ac:dyDescent="0.25">
      <c r="A51" s="279"/>
      <c r="B51" s="281" t="s">
        <v>76</v>
      </c>
      <c r="C51" s="478" t="s">
        <v>165</v>
      </c>
      <c r="D51" s="478"/>
      <c r="E51" s="478"/>
      <c r="F51" s="479"/>
      <c r="G51" s="479"/>
      <c r="H51" s="278" t="s">
        <v>78</v>
      </c>
      <c r="I51" s="480">
        <f>R18+F51+IF(B51="O",S3,(IF(B51="🅞",S3*2,IF(J29="是",INT(S3/2),0))))</f>
        <v>0</v>
      </c>
      <c r="J51" s="481"/>
      <c r="L51" s="382" t="s">
        <v>166</v>
      </c>
      <c r="M51" s="382"/>
      <c r="N51" s="382"/>
      <c r="O51" s="382" t="s">
        <v>167</v>
      </c>
      <c r="P51" s="382"/>
      <c r="Q51" s="382"/>
      <c r="R51" s="382" t="s">
        <v>168</v>
      </c>
      <c r="S51" s="382"/>
      <c r="T51" s="382"/>
      <c r="V51" s="492" t="s">
        <v>169</v>
      </c>
      <c r="W51" s="493"/>
      <c r="X51" s="493"/>
      <c r="Y51" s="493"/>
      <c r="Z51" s="493"/>
      <c r="AA51" s="494"/>
      <c r="AC51" s="495" t="s">
        <v>170</v>
      </c>
      <c r="AD51" s="496"/>
      <c r="AE51" s="497"/>
      <c r="AG51" s="498" t="s">
        <v>171</v>
      </c>
      <c r="AH51" s="499"/>
      <c r="AI51" s="477"/>
      <c r="AJ51" s="477"/>
      <c r="AK51" s="477"/>
      <c r="AL51" s="477"/>
      <c r="AM51" s="477"/>
      <c r="AN51" s="409" t="str">
        <f>CONCATENATE(SUM(AP49*10+AI50/2+AI49+AI51/10+AI52/100),"GP")</f>
        <v>0GP</v>
      </c>
      <c r="AO51" s="410"/>
      <c r="AP51" s="410"/>
      <c r="AQ51" s="410"/>
      <c r="AR51" s="410"/>
      <c r="AS51" s="410"/>
      <c r="AT51" s="411"/>
      <c r="AW51" s="308" t="str">
        <f>职业!BT42</f>
        <v/>
      </c>
      <c r="AX51" s="458"/>
      <c r="AY51" s="459"/>
      <c r="AZ51" s="459"/>
      <c r="BA51" s="459"/>
      <c r="BB51" s="460"/>
      <c r="BC51" s="461"/>
      <c r="BD51" s="461"/>
      <c r="BE51" s="461"/>
      <c r="BF51" s="461"/>
      <c r="BG51" s="461"/>
      <c r="BH51" s="461"/>
      <c r="BI51" s="461"/>
      <c r="BJ51" s="461"/>
      <c r="BK51" s="461"/>
      <c r="BL51" s="461"/>
      <c r="BM51" s="461"/>
      <c r="BN51" s="461"/>
      <c r="BO51" s="461"/>
      <c r="BP51" s="461"/>
      <c r="BQ51" s="461"/>
      <c r="BR51" s="461"/>
      <c r="BT51" s="618" t="s">
        <v>4311</v>
      </c>
      <c r="BU51" s="619"/>
      <c r="BV51" s="619"/>
      <c r="BW51" s="619"/>
      <c r="BX51" s="619"/>
      <c r="BY51" s="619"/>
      <c r="BZ51" s="619"/>
      <c r="CA51" s="619"/>
      <c r="CB51" s="619"/>
      <c r="CC51" s="619"/>
      <c r="CD51" s="619"/>
      <c r="CE51" s="619"/>
      <c r="CF51" s="619"/>
      <c r="CG51" s="619"/>
      <c r="CH51" s="619"/>
      <c r="CI51" s="619"/>
      <c r="CJ51" s="619"/>
      <c r="CK51" s="619"/>
      <c r="CL51" s="619"/>
      <c r="CM51" s="619"/>
      <c r="CN51" s="619"/>
      <c r="CO51" s="620"/>
    </row>
    <row r="52" spans="1:93" ht="16.649999999999999" customHeight="1" x14ac:dyDescent="0.25">
      <c r="A52" s="279"/>
      <c r="B52" s="281" t="s">
        <v>76</v>
      </c>
      <c r="C52" s="478" t="s">
        <v>172</v>
      </c>
      <c r="D52" s="478"/>
      <c r="E52" s="478"/>
      <c r="F52" s="479"/>
      <c r="G52" s="479"/>
      <c r="H52" s="278" t="s">
        <v>78</v>
      </c>
      <c r="I52" s="480">
        <f>R18+F52+IF(B52="O",S3,(IF(B52="🅞",S3*2,IF(J29="是",INT(S3/2),0))))</f>
        <v>0</v>
      </c>
      <c r="J52" s="481"/>
      <c r="L52" s="482">
        <v>0</v>
      </c>
      <c r="M52" s="482"/>
      <c r="N52" s="482"/>
      <c r="O52" s="482">
        <f>F13*5</f>
        <v>50</v>
      </c>
      <c r="P52" s="482"/>
      <c r="Q52" s="482"/>
      <c r="R52" s="482">
        <f>F13*10</f>
        <v>100</v>
      </c>
      <c r="S52" s="482"/>
      <c r="T52" s="482"/>
      <c r="V52" s="483">
        <f>IF(V51="最大载重",F13*15,IF(V50&lt;=O52,"轻载",IF(V50&lt;=R52,"重载",IF(V50&gt;R52,"超载"))))</f>
        <v>150</v>
      </c>
      <c r="W52" s="484"/>
      <c r="X52" s="484"/>
      <c r="Y52" s="484"/>
      <c r="Z52" s="484"/>
      <c r="AA52" s="485"/>
      <c r="AC52" s="486">
        <f>IF(背包!AS27="有",15,背包!BD48)</f>
        <v>0</v>
      </c>
      <c r="AD52" s="487"/>
      <c r="AE52" s="488"/>
      <c r="AF52" s="300"/>
      <c r="AG52" s="489" t="s">
        <v>173</v>
      </c>
      <c r="AH52" s="490"/>
      <c r="AI52" s="491"/>
      <c r="AJ52" s="491"/>
      <c r="AK52" s="491"/>
      <c r="AL52" s="491"/>
      <c r="AM52" s="491"/>
      <c r="AN52" s="412"/>
      <c r="AO52" s="413"/>
      <c r="AP52" s="413"/>
      <c r="AQ52" s="413"/>
      <c r="AR52" s="413"/>
      <c r="AS52" s="413"/>
      <c r="AT52" s="414"/>
      <c r="AW52" s="309" t="str">
        <f>职业!BT43</f>
        <v/>
      </c>
      <c r="AX52" s="463"/>
      <c r="AY52" s="464"/>
      <c r="AZ52" s="464"/>
      <c r="BA52" s="464"/>
      <c r="BB52" s="465"/>
      <c r="BC52" s="457"/>
      <c r="BD52" s="457"/>
      <c r="BE52" s="457"/>
      <c r="BF52" s="457"/>
      <c r="BG52" s="457"/>
      <c r="BH52" s="457"/>
      <c r="BI52" s="457"/>
      <c r="BJ52" s="457"/>
      <c r="BK52" s="457"/>
      <c r="BL52" s="457"/>
      <c r="BM52" s="457"/>
      <c r="BN52" s="457"/>
      <c r="BO52" s="457"/>
      <c r="BP52" s="457"/>
      <c r="BQ52" s="457"/>
      <c r="BR52" s="457"/>
      <c r="BT52" s="621" t="str">
        <f>IFERROR(职业!BK1,"")</f>
        <v/>
      </c>
      <c r="BU52" s="622"/>
      <c r="BV52" s="622"/>
      <c r="BW52" s="622"/>
      <c r="BX52" s="622"/>
      <c r="BY52" s="622"/>
      <c r="BZ52" s="622"/>
      <c r="CA52" s="622"/>
      <c r="CB52" s="622"/>
      <c r="CC52" s="622"/>
      <c r="CD52" s="622"/>
      <c r="CE52" s="622"/>
      <c r="CF52" s="622"/>
      <c r="CG52" s="622"/>
      <c r="CH52" s="622"/>
      <c r="CI52" s="622"/>
      <c r="CJ52" s="622"/>
      <c r="CK52" s="622"/>
      <c r="CL52" s="622"/>
      <c r="CM52" s="622"/>
      <c r="CN52" s="622"/>
      <c r="CO52" s="623"/>
    </row>
    <row r="53" spans="1:93" ht="16.649999999999999" customHeight="1" x14ac:dyDescent="0.25">
      <c r="A53" s="279"/>
      <c r="AV53" s="272"/>
      <c r="AW53" s="308" t="str">
        <f>职业!BT44</f>
        <v/>
      </c>
      <c r="AX53" s="458"/>
      <c r="AY53" s="459"/>
      <c r="AZ53" s="459"/>
      <c r="BA53" s="459"/>
      <c r="BB53" s="460"/>
      <c r="BC53" s="461"/>
      <c r="BD53" s="461"/>
      <c r="BE53" s="461"/>
      <c r="BF53" s="461"/>
      <c r="BG53" s="461"/>
      <c r="BH53" s="461"/>
      <c r="BI53" s="461"/>
      <c r="BJ53" s="461"/>
      <c r="BK53" s="461"/>
      <c r="BL53" s="461"/>
      <c r="BM53" s="461"/>
      <c r="BN53" s="461"/>
      <c r="BO53" s="461"/>
      <c r="BP53" s="461"/>
      <c r="BQ53" s="461"/>
      <c r="BR53" s="461"/>
      <c r="BS53" s="272"/>
      <c r="BT53" s="621"/>
      <c r="BU53" s="622"/>
      <c r="BV53" s="622"/>
      <c r="BW53" s="622"/>
      <c r="BX53" s="622"/>
      <c r="BY53" s="622"/>
      <c r="BZ53" s="622"/>
      <c r="CA53" s="622"/>
      <c r="CB53" s="622"/>
      <c r="CC53" s="622"/>
      <c r="CD53" s="622"/>
      <c r="CE53" s="622"/>
      <c r="CF53" s="622"/>
      <c r="CG53" s="622"/>
      <c r="CH53" s="622"/>
      <c r="CI53" s="622"/>
      <c r="CJ53" s="622"/>
      <c r="CK53" s="622"/>
      <c r="CL53" s="622"/>
      <c r="CM53" s="622"/>
      <c r="CN53" s="622"/>
      <c r="CO53" s="623"/>
    </row>
    <row r="54" spans="1:93" ht="16.649999999999999" customHeight="1" x14ac:dyDescent="0.25">
      <c r="B54" s="466" t="s">
        <v>174</v>
      </c>
      <c r="C54" s="466"/>
      <c r="D54" s="466"/>
      <c r="E54" s="466"/>
      <c r="F54" s="466"/>
      <c r="G54" s="466"/>
      <c r="H54" s="466"/>
      <c r="I54" s="466"/>
      <c r="J54" s="466"/>
      <c r="K54" s="466"/>
      <c r="L54" s="466"/>
      <c r="M54" s="466"/>
      <c r="N54" s="466"/>
      <c r="P54" s="466" t="s">
        <v>175</v>
      </c>
      <c r="Q54" s="466"/>
      <c r="R54" s="466"/>
      <c r="S54" s="466"/>
      <c r="T54" s="466"/>
      <c r="U54" s="466"/>
      <c r="V54" s="466"/>
      <c r="W54" s="272"/>
      <c r="X54" s="466" t="s">
        <v>176</v>
      </c>
      <c r="Y54" s="466"/>
      <c r="Z54" s="466"/>
      <c r="AA54" s="466"/>
      <c r="AB54" s="466"/>
      <c r="AC54" s="466"/>
      <c r="AD54" s="466"/>
      <c r="AE54" s="466"/>
      <c r="AF54" s="466"/>
      <c r="AG54" s="466"/>
      <c r="AH54" s="466"/>
      <c r="AI54" s="466"/>
      <c r="AJ54" s="466"/>
      <c r="AK54" s="466"/>
      <c r="AL54" s="466"/>
      <c r="AM54" s="466"/>
      <c r="AN54" s="466"/>
      <c r="AO54" s="466"/>
      <c r="AP54" s="466"/>
      <c r="AQ54" s="466"/>
      <c r="AR54" s="466"/>
      <c r="AS54" s="466"/>
      <c r="AT54" s="466"/>
      <c r="AW54" s="309" t="str">
        <f>职业!BT45</f>
        <v/>
      </c>
      <c r="AX54" s="463"/>
      <c r="AY54" s="464"/>
      <c r="AZ54" s="464"/>
      <c r="BA54" s="464"/>
      <c r="BB54" s="465"/>
      <c r="BC54" s="457"/>
      <c r="BD54" s="457"/>
      <c r="BE54" s="457"/>
      <c r="BF54" s="457"/>
      <c r="BG54" s="457"/>
      <c r="BH54" s="457"/>
      <c r="BI54" s="457"/>
      <c r="BJ54" s="457"/>
      <c r="BK54" s="457"/>
      <c r="BL54" s="457"/>
      <c r="BM54" s="457"/>
      <c r="BN54" s="457"/>
      <c r="BO54" s="457"/>
      <c r="BP54" s="457"/>
      <c r="BQ54" s="457"/>
      <c r="BR54" s="457"/>
      <c r="BT54" s="621"/>
      <c r="BU54" s="622"/>
      <c r="BV54" s="622"/>
      <c r="BW54" s="622"/>
      <c r="BX54" s="622"/>
      <c r="BY54" s="622"/>
      <c r="BZ54" s="622"/>
      <c r="CA54" s="622"/>
      <c r="CB54" s="622"/>
      <c r="CC54" s="622"/>
      <c r="CD54" s="622"/>
      <c r="CE54" s="622"/>
      <c r="CF54" s="622"/>
      <c r="CG54" s="622"/>
      <c r="CH54" s="622"/>
      <c r="CI54" s="622"/>
      <c r="CJ54" s="622"/>
      <c r="CK54" s="622"/>
      <c r="CL54" s="622"/>
      <c r="CM54" s="622"/>
      <c r="CN54" s="622"/>
      <c r="CO54" s="623"/>
    </row>
    <row r="55" spans="1:93" ht="16.649999999999999" customHeight="1" x14ac:dyDescent="0.35">
      <c r="B55" s="462" t="s">
        <v>177</v>
      </c>
      <c r="C55" s="462"/>
      <c r="D55" s="469" t="s">
        <v>41</v>
      </c>
      <c r="E55" s="469"/>
      <c r="F55" s="462" t="s">
        <v>178</v>
      </c>
      <c r="G55" s="462"/>
      <c r="H55" s="469" t="s">
        <v>41</v>
      </c>
      <c r="I55" s="469"/>
      <c r="J55" s="441" t="s">
        <v>179</v>
      </c>
      <c r="K55" s="441"/>
      <c r="L55" s="441"/>
      <c r="M55" s="441"/>
      <c r="N55" s="441"/>
      <c r="P55" s="120" t="s">
        <v>55</v>
      </c>
      <c r="Q55" s="462" t="s">
        <v>180</v>
      </c>
      <c r="R55" s="462"/>
      <c r="S55" s="462"/>
      <c r="T55" s="462"/>
      <c r="U55" s="462"/>
      <c r="V55" s="462"/>
      <c r="W55" s="272"/>
      <c r="X55" s="120" t="s">
        <v>55</v>
      </c>
      <c r="Y55" s="476" t="s">
        <v>180</v>
      </c>
      <c r="Z55" s="476"/>
      <c r="AA55" s="476"/>
      <c r="AB55" s="476"/>
      <c r="AC55" s="476"/>
      <c r="AD55" s="476"/>
      <c r="AE55" s="120"/>
      <c r="AF55" s="120" t="s">
        <v>55</v>
      </c>
      <c r="AG55" s="476" t="s">
        <v>180</v>
      </c>
      <c r="AH55" s="476"/>
      <c r="AI55" s="476"/>
      <c r="AJ55" s="476"/>
      <c r="AK55" s="476"/>
      <c r="AL55" s="476"/>
      <c r="AM55" s="120"/>
      <c r="AN55" s="120" t="s">
        <v>55</v>
      </c>
      <c r="AO55" s="476" t="s">
        <v>180</v>
      </c>
      <c r="AP55" s="476"/>
      <c r="AQ55" s="476"/>
      <c r="AR55" s="476"/>
      <c r="AS55" s="476"/>
      <c r="AT55" s="476"/>
      <c r="AW55" s="308" t="str">
        <f>职业!BT46</f>
        <v/>
      </c>
      <c r="AX55" s="458"/>
      <c r="AY55" s="459"/>
      <c r="AZ55" s="459"/>
      <c r="BA55" s="459"/>
      <c r="BB55" s="460"/>
      <c r="BC55" s="461"/>
      <c r="BD55" s="461"/>
      <c r="BE55" s="461"/>
      <c r="BF55" s="461"/>
      <c r="BG55" s="461"/>
      <c r="BH55" s="461"/>
      <c r="BI55" s="461"/>
      <c r="BJ55" s="461"/>
      <c r="BK55" s="461"/>
      <c r="BL55" s="461"/>
      <c r="BM55" s="461"/>
      <c r="BN55" s="461"/>
      <c r="BO55" s="461"/>
      <c r="BP55" s="461"/>
      <c r="BQ55" s="461"/>
      <c r="BR55" s="461"/>
      <c r="BT55" s="621"/>
      <c r="BU55" s="622"/>
      <c r="BV55" s="622"/>
      <c r="BW55" s="622"/>
      <c r="BX55" s="622"/>
      <c r="BY55" s="622"/>
      <c r="BZ55" s="622"/>
      <c r="CA55" s="622"/>
      <c r="CB55" s="622"/>
      <c r="CC55" s="622"/>
      <c r="CD55" s="622"/>
      <c r="CE55" s="622"/>
      <c r="CF55" s="622"/>
      <c r="CG55" s="622"/>
      <c r="CH55" s="622"/>
      <c r="CI55" s="622"/>
      <c r="CJ55" s="622"/>
      <c r="CK55" s="622"/>
      <c r="CL55" s="622"/>
      <c r="CM55" s="622"/>
      <c r="CN55" s="622"/>
      <c r="CO55" s="623"/>
    </row>
    <row r="56" spans="1:93" ht="16.649999999999999" customHeight="1" x14ac:dyDescent="0.35">
      <c r="B56" s="470" t="s">
        <v>81</v>
      </c>
      <c r="C56" s="470"/>
      <c r="D56" s="387"/>
      <c r="E56" s="388"/>
      <c r="F56" s="471">
        <f>IFERROR(SUM(8+S3+D56+R16),"×")</f>
        <v>10</v>
      </c>
      <c r="G56" s="471"/>
      <c r="H56" s="387"/>
      <c r="I56" s="388"/>
      <c r="J56" s="472" t="str">
        <f>IFERROR(CONCATENATE("D20+",SUM(R16+S3+H56)),"x")</f>
        <v>D20+2</v>
      </c>
      <c r="K56" s="473"/>
      <c r="L56" s="473"/>
      <c r="M56" s="473"/>
      <c r="N56" s="474"/>
      <c r="P56" s="294" t="str">
        <f>CONCATENATE(IFERROR(VLOOKUP(Q56,法术大全!A:Y,2,FALSE),""),IFERROR(IF(VLOOKUP(Q56,法术大全!A:Y,5,FALSE)="√"," ",""),""))</f>
        <v/>
      </c>
      <c r="Q56" s="406"/>
      <c r="R56" s="407"/>
      <c r="S56" s="407"/>
      <c r="T56" s="407"/>
      <c r="U56" s="407"/>
      <c r="V56" s="408"/>
      <c r="W56" s="272"/>
      <c r="X56" s="294" t="str">
        <f>CONCATENATE(IFERROR(VLOOKUP(Y56,法术大全!A:Y,2,FALSE),""),IFERROR(IF(VLOOKUP(Y56,法术大全!A:Y,5,FALSE)="√"," ",""),""))</f>
        <v/>
      </c>
      <c r="Y56" s="406"/>
      <c r="Z56" s="407"/>
      <c r="AA56" s="407"/>
      <c r="AB56" s="407"/>
      <c r="AC56" s="407"/>
      <c r="AD56" s="408"/>
      <c r="AE56" s="120"/>
      <c r="AF56" s="294" t="str">
        <f>CONCATENATE(IFERROR(VLOOKUP(AG56,法术大全!A:Y,2,FALSE),""),IFERROR(IF(VLOOKUP(AG56,法术大全!A:Y,5,FALSE)="√"," ",""),""))</f>
        <v/>
      </c>
      <c r="AG56" s="406"/>
      <c r="AH56" s="407"/>
      <c r="AI56" s="407"/>
      <c r="AJ56" s="407"/>
      <c r="AK56" s="407"/>
      <c r="AL56" s="408"/>
      <c r="AM56" s="120"/>
      <c r="AN56" s="294" t="str">
        <f>CONCATENATE(IFERROR(VLOOKUP(AO56,法术大全!A:Y,2,FALSE),""),IFERROR(IF(VLOOKUP(AO56,法术大全!A:Y,5,FALSE)="√"," ",""),""))</f>
        <v/>
      </c>
      <c r="AO56" s="406"/>
      <c r="AP56" s="407"/>
      <c r="AQ56" s="407"/>
      <c r="AR56" s="407"/>
      <c r="AS56" s="407"/>
      <c r="AT56" s="408"/>
      <c r="AW56" s="309" t="str">
        <f>职业!BT47</f>
        <v/>
      </c>
      <c r="AX56" s="463"/>
      <c r="AY56" s="464"/>
      <c r="AZ56" s="464"/>
      <c r="BA56" s="464"/>
      <c r="BB56" s="465"/>
      <c r="BC56" s="457"/>
      <c r="BD56" s="457"/>
      <c r="BE56" s="457"/>
      <c r="BF56" s="457"/>
      <c r="BG56" s="457"/>
      <c r="BH56" s="457"/>
      <c r="BI56" s="457"/>
      <c r="BJ56" s="457"/>
      <c r="BK56" s="457"/>
      <c r="BL56" s="457"/>
      <c r="BM56" s="457"/>
      <c r="BN56" s="457"/>
      <c r="BO56" s="457"/>
      <c r="BP56" s="457"/>
      <c r="BQ56" s="457"/>
      <c r="BR56" s="457"/>
      <c r="BT56" s="621"/>
      <c r="BU56" s="622"/>
      <c r="BV56" s="622"/>
      <c r="BW56" s="622"/>
      <c r="BX56" s="622"/>
      <c r="BY56" s="622"/>
      <c r="BZ56" s="622"/>
      <c r="CA56" s="622"/>
      <c r="CB56" s="622"/>
      <c r="CC56" s="622"/>
      <c r="CD56" s="622"/>
      <c r="CE56" s="622"/>
      <c r="CF56" s="622"/>
      <c r="CG56" s="622"/>
      <c r="CH56" s="622"/>
      <c r="CI56" s="622"/>
      <c r="CJ56" s="622"/>
      <c r="CK56" s="622"/>
      <c r="CL56" s="622"/>
      <c r="CM56" s="622"/>
      <c r="CN56" s="622"/>
      <c r="CO56" s="623"/>
    </row>
    <row r="57" spans="1:93" ht="16.649999999999999" customHeight="1" x14ac:dyDescent="0.35">
      <c r="B57" s="470" t="s">
        <v>82</v>
      </c>
      <c r="C57" s="470"/>
      <c r="D57" s="387"/>
      <c r="E57" s="388"/>
      <c r="F57" s="471">
        <f>IFERROR(SUM(8+S3+D57+R17),"×")</f>
        <v>10</v>
      </c>
      <c r="G57" s="471"/>
      <c r="H57" s="387"/>
      <c r="I57" s="388"/>
      <c r="J57" s="472" t="str">
        <f>IFERROR(CONCATENATE("D20+",SUM(R17+S3+H57)),"x")</f>
        <v>D20+2</v>
      </c>
      <c r="K57" s="473"/>
      <c r="L57" s="473"/>
      <c r="M57" s="473"/>
      <c r="N57" s="474"/>
      <c r="P57" s="294" t="str">
        <f>CONCATENATE(IFERROR(VLOOKUP(Q57,法术大全!A:Y,2,FALSE),""),IFERROR(IF(VLOOKUP(Q57,法术大全!A:Y,5,FALSE)="√"," ",""),""))</f>
        <v/>
      </c>
      <c r="Q57" s="406"/>
      <c r="R57" s="407"/>
      <c r="S57" s="407"/>
      <c r="T57" s="407"/>
      <c r="U57" s="407"/>
      <c r="V57" s="408"/>
      <c r="W57" s="272"/>
      <c r="X57" s="294" t="str">
        <f>CONCATENATE(IFERROR(VLOOKUP(Y57,法术大全!A:Y,2,FALSE),""),IFERROR(IF(VLOOKUP(Y57,法术大全!A:Y,5,FALSE)="√"," ",""),""))</f>
        <v/>
      </c>
      <c r="Y57" s="406"/>
      <c r="Z57" s="407"/>
      <c r="AA57" s="407"/>
      <c r="AB57" s="407"/>
      <c r="AC57" s="407"/>
      <c r="AD57" s="408"/>
      <c r="AE57" s="120"/>
      <c r="AF57" s="294" t="str">
        <f>CONCATENATE(IFERROR(VLOOKUP(AG57,法术大全!A:Y,2,FALSE),""),IFERROR(IF(VLOOKUP(AG57,法术大全!A:Y,5,FALSE)="√"," ",""),""))</f>
        <v/>
      </c>
      <c r="AG57" s="406"/>
      <c r="AH57" s="407"/>
      <c r="AI57" s="407"/>
      <c r="AJ57" s="407"/>
      <c r="AK57" s="407"/>
      <c r="AL57" s="408"/>
      <c r="AM57" s="120"/>
      <c r="AN57" s="294" t="str">
        <f>CONCATENATE(IFERROR(VLOOKUP(AO57,法术大全!A:Y,2,FALSE),""),IFERROR(IF(VLOOKUP(AO57,法术大全!A:Y,5,FALSE)="√"," ",""),""))</f>
        <v/>
      </c>
      <c r="AO57" s="406"/>
      <c r="AP57" s="407"/>
      <c r="AQ57" s="407"/>
      <c r="AR57" s="407"/>
      <c r="AS57" s="407"/>
      <c r="AT57" s="408"/>
      <c r="AW57" s="308" t="str">
        <f>职业!BT48</f>
        <v/>
      </c>
      <c r="AX57" s="458"/>
      <c r="AY57" s="459"/>
      <c r="AZ57" s="459"/>
      <c r="BA57" s="459"/>
      <c r="BB57" s="460"/>
      <c r="BC57" s="461"/>
      <c r="BD57" s="461"/>
      <c r="BE57" s="461"/>
      <c r="BF57" s="461"/>
      <c r="BG57" s="461"/>
      <c r="BH57" s="461"/>
      <c r="BI57" s="461"/>
      <c r="BJ57" s="461"/>
      <c r="BK57" s="461"/>
      <c r="BL57" s="461"/>
      <c r="BM57" s="461"/>
      <c r="BN57" s="461"/>
      <c r="BO57" s="461"/>
      <c r="BP57" s="461"/>
      <c r="BQ57" s="461"/>
      <c r="BR57" s="461"/>
      <c r="BT57" s="621"/>
      <c r="BU57" s="622"/>
      <c r="BV57" s="622"/>
      <c r="BW57" s="622"/>
      <c r="BX57" s="622"/>
      <c r="BY57" s="622"/>
      <c r="BZ57" s="622"/>
      <c r="CA57" s="622"/>
      <c r="CB57" s="622"/>
      <c r="CC57" s="622"/>
      <c r="CD57" s="622"/>
      <c r="CE57" s="622"/>
      <c r="CF57" s="622"/>
      <c r="CG57" s="622"/>
      <c r="CH57" s="622"/>
      <c r="CI57" s="622"/>
      <c r="CJ57" s="622"/>
      <c r="CK57" s="622"/>
      <c r="CL57" s="622"/>
      <c r="CM57" s="622"/>
      <c r="CN57" s="622"/>
      <c r="CO57" s="623"/>
    </row>
    <row r="58" spans="1:93" ht="16.649999999999999" customHeight="1" x14ac:dyDescent="0.35">
      <c r="B58" s="470" t="s">
        <v>83</v>
      </c>
      <c r="C58" s="470"/>
      <c r="D58" s="387"/>
      <c r="E58" s="388"/>
      <c r="F58" s="471">
        <f>IFERROR(SUM(8+S3+D58+R18),"×")</f>
        <v>10</v>
      </c>
      <c r="G58" s="471"/>
      <c r="H58" s="387"/>
      <c r="I58" s="388"/>
      <c r="J58" s="472" t="str">
        <f>IFERROR(CONCATENATE("D20+",SUM(R18+S3+H58)),"x")</f>
        <v>D20+2</v>
      </c>
      <c r="K58" s="473"/>
      <c r="L58" s="473"/>
      <c r="M58" s="473"/>
      <c r="N58" s="474"/>
      <c r="P58" s="294" t="str">
        <f>CONCATENATE(IFERROR(VLOOKUP(Q58,法术大全!A:Y,2,FALSE),""),IFERROR(IF(VLOOKUP(Q58,法术大全!A:Y,5,FALSE)="√"," ",""),""))</f>
        <v/>
      </c>
      <c r="Q58" s="406"/>
      <c r="R58" s="407"/>
      <c r="S58" s="407"/>
      <c r="T58" s="407"/>
      <c r="U58" s="407"/>
      <c r="V58" s="408"/>
      <c r="W58" s="272"/>
      <c r="X58" s="294" t="str">
        <f>CONCATENATE(IFERROR(VLOOKUP(Y58,法术大全!A:Y,2,FALSE),""),IFERROR(IF(VLOOKUP(Y58,法术大全!A:Y,5,FALSE)="√"," ",""),""))</f>
        <v/>
      </c>
      <c r="Y58" s="406"/>
      <c r="Z58" s="407"/>
      <c r="AA58" s="407"/>
      <c r="AB58" s="407"/>
      <c r="AC58" s="407"/>
      <c r="AD58" s="408"/>
      <c r="AE58" s="120"/>
      <c r="AF58" s="294" t="str">
        <f>CONCATENATE(IFERROR(VLOOKUP(AG58,法术大全!A:Y,2,FALSE),""),IFERROR(IF(VLOOKUP(AG58,法术大全!A:Y,5,FALSE)="√"," ",""),""))</f>
        <v/>
      </c>
      <c r="AG58" s="406"/>
      <c r="AH58" s="407"/>
      <c r="AI58" s="407"/>
      <c r="AJ58" s="407"/>
      <c r="AK58" s="407"/>
      <c r="AL58" s="408"/>
      <c r="AM58" s="120"/>
      <c r="AN58" s="294" t="str">
        <f>CONCATENATE(IFERROR(VLOOKUP(AO58,法术大全!A:Y,2,FALSE),""),IFERROR(IF(VLOOKUP(AO58,法术大全!A:Y,5,FALSE)="√"," ",""),""))</f>
        <v/>
      </c>
      <c r="AO58" s="406"/>
      <c r="AP58" s="407"/>
      <c r="AQ58" s="407"/>
      <c r="AR58" s="407"/>
      <c r="AS58" s="407"/>
      <c r="AT58" s="408"/>
      <c r="AW58" s="309" t="str">
        <f>职业!BT49</f>
        <v/>
      </c>
      <c r="AX58" s="463"/>
      <c r="AY58" s="464"/>
      <c r="AZ58" s="464"/>
      <c r="BA58" s="464"/>
      <c r="BB58" s="465"/>
      <c r="BC58" s="457"/>
      <c r="BD58" s="457"/>
      <c r="BE58" s="457"/>
      <c r="BF58" s="457"/>
      <c r="BG58" s="457"/>
      <c r="BH58" s="457"/>
      <c r="BI58" s="457"/>
      <c r="BJ58" s="457"/>
      <c r="BK58" s="457"/>
      <c r="BL58" s="457"/>
      <c r="BM58" s="457"/>
      <c r="BN58" s="457"/>
      <c r="BO58" s="457"/>
      <c r="BP58" s="457"/>
      <c r="BQ58" s="457"/>
      <c r="BR58" s="457"/>
      <c r="BT58" s="621"/>
      <c r="BU58" s="622"/>
      <c r="BV58" s="622"/>
      <c r="BW58" s="622"/>
      <c r="BX58" s="622"/>
      <c r="BY58" s="622"/>
      <c r="BZ58" s="622"/>
      <c r="CA58" s="622"/>
      <c r="CB58" s="622"/>
      <c r="CC58" s="622"/>
      <c r="CD58" s="622"/>
      <c r="CE58" s="622"/>
      <c r="CF58" s="622"/>
      <c r="CG58" s="622"/>
      <c r="CH58" s="622"/>
      <c r="CI58" s="622"/>
      <c r="CJ58" s="622"/>
      <c r="CK58" s="622"/>
      <c r="CL58" s="622"/>
      <c r="CM58" s="622"/>
      <c r="CN58" s="622"/>
      <c r="CO58" s="623"/>
    </row>
    <row r="59" spans="1:93" ht="16.649999999999999" customHeight="1" x14ac:dyDescent="0.35">
      <c r="B59" s="469" t="s">
        <v>182</v>
      </c>
      <c r="C59" s="469"/>
      <c r="D59" s="469"/>
      <c r="E59" s="469"/>
      <c r="F59" s="475" t="s">
        <v>183</v>
      </c>
      <c r="G59" s="475"/>
      <c r="H59" s="475"/>
      <c r="I59" s="475"/>
      <c r="J59" s="475"/>
      <c r="K59" s="475"/>
      <c r="L59" s="475"/>
      <c r="M59" s="475"/>
      <c r="N59" s="475"/>
      <c r="P59" s="294" t="str">
        <f>CONCATENATE(IFERROR(VLOOKUP(Q59,法术大全!A:Y,2,FALSE),""),IFERROR(IF(VLOOKUP(Q59,法术大全!A:Y,5,FALSE)="√"," ",""),""))</f>
        <v/>
      </c>
      <c r="Q59" s="406"/>
      <c r="R59" s="407"/>
      <c r="S59" s="407"/>
      <c r="T59" s="407"/>
      <c r="U59" s="407"/>
      <c r="V59" s="408"/>
      <c r="W59" s="272"/>
      <c r="X59" s="294" t="str">
        <f>CONCATENATE(IFERROR(VLOOKUP(Y59,法术大全!A:Y,2,FALSE),""),IFERROR(IF(VLOOKUP(Y59,法术大全!A:Y,5,FALSE)="√"," ",""),""))</f>
        <v/>
      </c>
      <c r="Y59" s="406"/>
      <c r="Z59" s="407"/>
      <c r="AA59" s="407"/>
      <c r="AB59" s="407"/>
      <c r="AC59" s="407"/>
      <c r="AD59" s="408"/>
      <c r="AE59" s="120"/>
      <c r="AF59" s="294" t="str">
        <f>CONCATENATE(IFERROR(VLOOKUP(AG59,法术大全!A:Y,2,FALSE),""),IFERROR(IF(VLOOKUP(AG59,法术大全!A:Y,5,FALSE)="√"," ",""),""))</f>
        <v/>
      </c>
      <c r="AG59" s="406"/>
      <c r="AH59" s="407"/>
      <c r="AI59" s="407"/>
      <c r="AJ59" s="407"/>
      <c r="AK59" s="407"/>
      <c r="AL59" s="408"/>
      <c r="AM59" s="120"/>
      <c r="AN59" s="294" t="str">
        <f>CONCATENATE(IFERROR(VLOOKUP(AO59,法术大全!A:Y,2,FALSE),""),IFERROR(IF(VLOOKUP(AO59,法术大全!A:Y,5,FALSE)="√"," ",""),""))</f>
        <v/>
      </c>
      <c r="AO59" s="406"/>
      <c r="AP59" s="407"/>
      <c r="AQ59" s="407"/>
      <c r="AR59" s="407"/>
      <c r="AS59" s="407"/>
      <c r="AT59" s="408"/>
      <c r="AW59" s="308" t="str">
        <f>职业!BT50</f>
        <v/>
      </c>
      <c r="AX59" s="458"/>
      <c r="AY59" s="459"/>
      <c r="AZ59" s="459"/>
      <c r="BA59" s="459"/>
      <c r="BB59" s="460"/>
      <c r="BC59" s="461"/>
      <c r="BD59" s="461"/>
      <c r="BE59" s="461"/>
      <c r="BF59" s="461"/>
      <c r="BG59" s="461"/>
      <c r="BH59" s="461"/>
      <c r="BI59" s="461"/>
      <c r="BJ59" s="461"/>
      <c r="BK59" s="461"/>
      <c r="BL59" s="461"/>
      <c r="BM59" s="461"/>
      <c r="BN59" s="461"/>
      <c r="BO59" s="461"/>
      <c r="BP59" s="461"/>
      <c r="BQ59" s="461"/>
      <c r="BR59" s="461"/>
      <c r="BT59" s="621"/>
      <c r="BU59" s="622"/>
      <c r="BV59" s="622"/>
      <c r="BW59" s="622"/>
      <c r="BX59" s="622"/>
      <c r="BY59" s="622"/>
      <c r="BZ59" s="622"/>
      <c r="CA59" s="622"/>
      <c r="CB59" s="622"/>
      <c r="CC59" s="622"/>
      <c r="CD59" s="622"/>
      <c r="CE59" s="622"/>
      <c r="CF59" s="622"/>
      <c r="CG59" s="622"/>
      <c r="CH59" s="622"/>
      <c r="CI59" s="622"/>
      <c r="CJ59" s="622"/>
      <c r="CK59" s="622"/>
      <c r="CL59" s="622"/>
      <c r="CM59" s="622"/>
      <c r="CN59" s="622"/>
      <c r="CO59" s="623"/>
    </row>
    <row r="60" spans="1:93" ht="16.649999999999999" customHeight="1" x14ac:dyDescent="0.35">
      <c r="B60" s="387" t="s">
        <v>56</v>
      </c>
      <c r="C60" s="388"/>
      <c r="D60" s="388"/>
      <c r="E60" s="389"/>
      <c r="F60" s="468" t="str">
        <f>数据表!N15</f>
        <v/>
      </c>
      <c r="G60" s="468"/>
      <c r="H60" s="468"/>
      <c r="I60" s="468"/>
      <c r="J60" s="468"/>
      <c r="K60" s="468"/>
      <c r="L60" s="468"/>
      <c r="M60" s="468"/>
      <c r="N60" s="468"/>
      <c r="P60" s="294" t="str">
        <f>CONCATENATE(IFERROR(VLOOKUP(Q60,法术大全!A:Y,2,FALSE),""),IFERROR(IF(VLOOKUP(Q60,法术大全!A:Y,5,FALSE)="√"," ",""),""))</f>
        <v/>
      </c>
      <c r="Q60" s="406"/>
      <c r="R60" s="407"/>
      <c r="S60" s="407"/>
      <c r="T60" s="407"/>
      <c r="U60" s="407"/>
      <c r="V60" s="408"/>
      <c r="W60" s="272"/>
      <c r="X60" s="294" t="str">
        <f>CONCATENATE(IFERROR(VLOOKUP(Y60,法术大全!A:Y,2,FALSE),""),IFERROR(IF(VLOOKUP(Y60,法术大全!A:Y,5,FALSE)="√"," ",""),""))</f>
        <v/>
      </c>
      <c r="Y60" s="406"/>
      <c r="Z60" s="407"/>
      <c r="AA60" s="407"/>
      <c r="AB60" s="407"/>
      <c r="AC60" s="407"/>
      <c r="AD60" s="408"/>
      <c r="AE60" s="120"/>
      <c r="AF60" s="294" t="str">
        <f>CONCATENATE(IFERROR(VLOOKUP(AG60,法术大全!A:Y,2,FALSE),""),IFERROR(IF(VLOOKUP(AG60,法术大全!A:Y,5,FALSE)="√"," ",""),""))</f>
        <v/>
      </c>
      <c r="AG60" s="406"/>
      <c r="AH60" s="407"/>
      <c r="AI60" s="407"/>
      <c r="AJ60" s="407"/>
      <c r="AK60" s="407"/>
      <c r="AL60" s="408"/>
      <c r="AM60" s="120"/>
      <c r="AN60" s="294" t="str">
        <f>CONCATENATE(IFERROR(VLOOKUP(AO60,法术大全!A:Y,2,FALSE),""),IFERROR(IF(VLOOKUP(AO60,法术大全!A:Y,5,FALSE)="√"," ",""),""))</f>
        <v/>
      </c>
      <c r="AO60" s="406"/>
      <c r="AP60" s="407"/>
      <c r="AQ60" s="407"/>
      <c r="AR60" s="407"/>
      <c r="AS60" s="407"/>
      <c r="AT60" s="408"/>
      <c r="AW60" s="309" t="str">
        <f>职业!BT51</f>
        <v/>
      </c>
      <c r="AX60" s="463"/>
      <c r="AY60" s="464"/>
      <c r="AZ60" s="464"/>
      <c r="BA60" s="464"/>
      <c r="BB60" s="465"/>
      <c r="BC60" s="457"/>
      <c r="BD60" s="457"/>
      <c r="BE60" s="457"/>
      <c r="BF60" s="457"/>
      <c r="BG60" s="457"/>
      <c r="BH60" s="457"/>
      <c r="BI60" s="457"/>
      <c r="BJ60" s="457"/>
      <c r="BK60" s="457"/>
      <c r="BL60" s="457"/>
      <c r="BM60" s="457"/>
      <c r="BN60" s="457"/>
      <c r="BO60" s="457"/>
      <c r="BP60" s="457"/>
      <c r="BQ60" s="457"/>
      <c r="BR60" s="457"/>
      <c r="BT60" s="621"/>
      <c r="BU60" s="622"/>
      <c r="BV60" s="622"/>
      <c r="BW60" s="622"/>
      <c r="BX60" s="622"/>
      <c r="BY60" s="622"/>
      <c r="BZ60" s="622"/>
      <c r="CA60" s="622"/>
      <c r="CB60" s="622"/>
      <c r="CC60" s="622"/>
      <c r="CD60" s="622"/>
      <c r="CE60" s="622"/>
      <c r="CF60" s="622"/>
      <c r="CG60" s="622"/>
      <c r="CH60" s="622"/>
      <c r="CI60" s="622"/>
      <c r="CJ60" s="622"/>
      <c r="CK60" s="622"/>
      <c r="CL60" s="622"/>
      <c r="CM60" s="622"/>
      <c r="CN60" s="622"/>
      <c r="CO60" s="623"/>
    </row>
    <row r="61" spans="1:93" ht="16.649999999999999" customHeight="1" x14ac:dyDescent="0.35">
      <c r="B61" s="467" t="s">
        <v>184</v>
      </c>
      <c r="C61" s="467"/>
      <c r="D61" s="467"/>
      <c r="E61" s="467" t="s">
        <v>185</v>
      </c>
      <c r="F61" s="467"/>
      <c r="G61" s="467"/>
      <c r="H61" s="467"/>
      <c r="I61" s="467"/>
      <c r="J61" s="467" t="s">
        <v>186</v>
      </c>
      <c r="K61" s="467"/>
      <c r="L61" s="467"/>
      <c r="P61" s="294" t="str">
        <f>CONCATENATE(IFERROR(VLOOKUP(Q61,法术大全!A:Y,2,FALSE),""),IFERROR(IF(VLOOKUP(Q61,法术大全!A:Y,5,FALSE)="√"," ",""),""))</f>
        <v/>
      </c>
      <c r="Q61" s="406"/>
      <c r="R61" s="407"/>
      <c r="S61" s="407"/>
      <c r="T61" s="407"/>
      <c r="U61" s="407"/>
      <c r="V61" s="408"/>
      <c r="W61" s="272"/>
      <c r="X61" s="294" t="str">
        <f>CONCATENATE(IFERROR(VLOOKUP(Y61,法术大全!A:Y,2,FALSE),""),IFERROR(IF(VLOOKUP(Y61,法术大全!A:Y,5,FALSE)="√"," ",""),""))</f>
        <v/>
      </c>
      <c r="Y61" s="406"/>
      <c r="Z61" s="407"/>
      <c r="AA61" s="407"/>
      <c r="AB61" s="407"/>
      <c r="AC61" s="407"/>
      <c r="AD61" s="408"/>
      <c r="AE61" s="120"/>
      <c r="AF61" s="294" t="str">
        <f>CONCATENATE(IFERROR(VLOOKUP(AG61,法术大全!A:Y,2,FALSE),""),IFERROR(IF(VLOOKUP(AG61,法术大全!A:Y,5,FALSE)="√"," ",""),""))</f>
        <v/>
      </c>
      <c r="AG61" s="406"/>
      <c r="AH61" s="407"/>
      <c r="AI61" s="407"/>
      <c r="AJ61" s="407"/>
      <c r="AK61" s="407"/>
      <c r="AL61" s="408"/>
      <c r="AM61" s="120"/>
      <c r="AN61" s="294" t="str">
        <f>CONCATENATE(IFERROR(VLOOKUP(AO61,法术大全!A:Y,2,FALSE),""),IFERROR(IF(VLOOKUP(AO61,法术大全!A:Y,5,FALSE)="√"," ",""),""))</f>
        <v/>
      </c>
      <c r="AO61" s="406"/>
      <c r="AP61" s="407"/>
      <c r="AQ61" s="407"/>
      <c r="AR61" s="407"/>
      <c r="AS61" s="407"/>
      <c r="AT61" s="408"/>
      <c r="AW61" s="308" t="str">
        <f>职业!BT52</f>
        <v/>
      </c>
      <c r="AX61" s="458"/>
      <c r="AY61" s="459"/>
      <c r="AZ61" s="459"/>
      <c r="BA61" s="459"/>
      <c r="BB61" s="460"/>
      <c r="BC61" s="461"/>
      <c r="BD61" s="461"/>
      <c r="BE61" s="461"/>
      <c r="BF61" s="461"/>
      <c r="BG61" s="461"/>
      <c r="BH61" s="461"/>
      <c r="BI61" s="461"/>
      <c r="BJ61" s="461"/>
      <c r="BK61" s="461"/>
      <c r="BL61" s="461"/>
      <c r="BM61" s="461"/>
      <c r="BN61" s="461"/>
      <c r="BO61" s="461"/>
      <c r="BP61" s="461"/>
      <c r="BQ61" s="461"/>
      <c r="BR61" s="461"/>
      <c r="BT61" s="621"/>
      <c r="BU61" s="622"/>
      <c r="BV61" s="622"/>
      <c r="BW61" s="622"/>
      <c r="BX61" s="622"/>
      <c r="BY61" s="622"/>
      <c r="BZ61" s="622"/>
      <c r="CA61" s="622"/>
      <c r="CB61" s="622"/>
      <c r="CC61" s="622"/>
      <c r="CD61" s="622"/>
      <c r="CE61" s="622"/>
      <c r="CF61" s="622"/>
      <c r="CG61" s="622"/>
      <c r="CH61" s="622"/>
      <c r="CI61" s="622"/>
      <c r="CJ61" s="622"/>
      <c r="CK61" s="622"/>
      <c r="CL61" s="622"/>
      <c r="CM61" s="622"/>
      <c r="CN61" s="622"/>
      <c r="CO61" s="623"/>
    </row>
    <row r="62" spans="1:93" ht="16.649999999999999" customHeight="1" x14ac:dyDescent="0.35">
      <c r="B62" s="400">
        <v>1</v>
      </c>
      <c r="C62" s="400"/>
      <c r="D62" s="400"/>
      <c r="E62" s="401"/>
      <c r="F62" s="402"/>
      <c r="G62" s="284" t="s">
        <v>91</v>
      </c>
      <c r="H62" s="403" t="str">
        <f>职业!AJ16</f>
        <v/>
      </c>
      <c r="I62" s="404"/>
      <c r="J62" s="405">
        <v>2</v>
      </c>
      <c r="K62" s="405"/>
      <c r="L62" s="405"/>
      <c r="P62" s="294" t="str">
        <f>CONCATENATE(IFERROR(VLOOKUP(Q62,法术大全!A:Y,2,FALSE),""),IFERROR(IF(VLOOKUP(Q62,法术大全!A:Y,5,FALSE)="√"," ",""),""))</f>
        <v/>
      </c>
      <c r="Q62" s="406"/>
      <c r="R62" s="407"/>
      <c r="S62" s="407"/>
      <c r="T62" s="407"/>
      <c r="U62" s="407"/>
      <c r="V62" s="408"/>
      <c r="W62" s="272"/>
      <c r="X62" s="294" t="str">
        <f>CONCATENATE(IFERROR(VLOOKUP(Y62,法术大全!A:Y,2,FALSE),""),IFERROR(IF(VLOOKUP(Y62,法术大全!A:Y,5,FALSE)="√"," ",""),""))</f>
        <v/>
      </c>
      <c r="Y62" s="406"/>
      <c r="Z62" s="407"/>
      <c r="AA62" s="407"/>
      <c r="AB62" s="407"/>
      <c r="AC62" s="407"/>
      <c r="AD62" s="408"/>
      <c r="AE62" s="120"/>
      <c r="AF62" s="294" t="str">
        <f>CONCATENATE(IFERROR(VLOOKUP(AG62,法术大全!A:Y,2,FALSE),""),IFERROR(IF(VLOOKUP(AG62,法术大全!A:Y,5,FALSE)="√"," ",""),""))</f>
        <v/>
      </c>
      <c r="AG62" s="406"/>
      <c r="AH62" s="407"/>
      <c r="AI62" s="407"/>
      <c r="AJ62" s="407"/>
      <c r="AK62" s="407"/>
      <c r="AL62" s="408"/>
      <c r="AM62" s="120"/>
      <c r="AN62" s="294" t="str">
        <f>CONCATENATE(IFERROR(VLOOKUP(AO62,法术大全!A:Y,2,FALSE),""),IFERROR(IF(VLOOKUP(AO62,法术大全!A:Y,5,FALSE)="√"," ",""),""))</f>
        <v/>
      </c>
      <c r="AO62" s="406"/>
      <c r="AP62" s="407"/>
      <c r="AQ62" s="407"/>
      <c r="AR62" s="407"/>
      <c r="AS62" s="407"/>
      <c r="AT62" s="408"/>
      <c r="AW62" s="309" t="str">
        <f>职业!BT53</f>
        <v/>
      </c>
      <c r="AX62" s="463"/>
      <c r="AY62" s="464"/>
      <c r="AZ62" s="464"/>
      <c r="BA62" s="464"/>
      <c r="BB62" s="465"/>
      <c r="BC62" s="457"/>
      <c r="BD62" s="457"/>
      <c r="BE62" s="457"/>
      <c r="BF62" s="457"/>
      <c r="BG62" s="457"/>
      <c r="BH62" s="457"/>
      <c r="BI62" s="457"/>
      <c r="BJ62" s="457"/>
      <c r="BK62" s="457"/>
      <c r="BL62" s="457"/>
      <c r="BM62" s="457"/>
      <c r="BN62" s="457"/>
      <c r="BO62" s="457"/>
      <c r="BP62" s="457"/>
      <c r="BQ62" s="457"/>
      <c r="BR62" s="457"/>
      <c r="BT62" s="621"/>
      <c r="BU62" s="622"/>
      <c r="BV62" s="622"/>
      <c r="BW62" s="622"/>
      <c r="BX62" s="622"/>
      <c r="BY62" s="622"/>
      <c r="BZ62" s="622"/>
      <c r="CA62" s="622"/>
      <c r="CB62" s="622"/>
      <c r="CC62" s="622"/>
      <c r="CD62" s="622"/>
      <c r="CE62" s="622"/>
      <c r="CF62" s="622"/>
      <c r="CG62" s="622"/>
      <c r="CH62" s="622"/>
      <c r="CI62" s="622"/>
      <c r="CJ62" s="622"/>
      <c r="CK62" s="622"/>
      <c r="CL62" s="622"/>
      <c r="CM62" s="622"/>
      <c r="CN62" s="622"/>
      <c r="CO62" s="623"/>
    </row>
    <row r="63" spans="1:93" ht="16.649999999999999" customHeight="1" x14ac:dyDescent="0.35">
      <c r="B63" s="400">
        <v>2</v>
      </c>
      <c r="C63" s="400"/>
      <c r="D63" s="400"/>
      <c r="E63" s="401"/>
      <c r="F63" s="402"/>
      <c r="G63" s="284" t="s">
        <v>91</v>
      </c>
      <c r="H63" s="403" t="str">
        <f>职业!AJ17</f>
        <v/>
      </c>
      <c r="I63" s="404"/>
      <c r="J63" s="405">
        <v>3</v>
      </c>
      <c r="K63" s="405"/>
      <c r="L63" s="405"/>
      <c r="P63" s="294" t="str">
        <f>CONCATENATE(IFERROR(VLOOKUP(Q63,法术大全!A:Y,2,FALSE),""),IFERROR(IF(VLOOKUP(Q63,法术大全!A:Y,5,FALSE)="√"," ",""),""))</f>
        <v/>
      </c>
      <c r="Q63" s="406"/>
      <c r="R63" s="407"/>
      <c r="S63" s="407"/>
      <c r="T63" s="407"/>
      <c r="U63" s="407"/>
      <c r="V63" s="408"/>
      <c r="W63" s="272"/>
      <c r="X63" s="294" t="str">
        <f>CONCATENATE(IFERROR(VLOOKUP(Y63,法术大全!A:Y,2,FALSE),""),IFERROR(IF(VLOOKUP(Y63,法术大全!A:Y,5,FALSE)="√"," ",""),""))</f>
        <v/>
      </c>
      <c r="Y63" s="406"/>
      <c r="Z63" s="407"/>
      <c r="AA63" s="407"/>
      <c r="AB63" s="407"/>
      <c r="AC63" s="407"/>
      <c r="AD63" s="408"/>
      <c r="AE63" s="120"/>
      <c r="AF63" s="294" t="str">
        <f>CONCATENATE(IFERROR(VLOOKUP(AG63,法术大全!A:Y,2,FALSE),""),IFERROR(IF(VLOOKUP(AG63,法术大全!A:Y,5,FALSE)="√"," ",""),""))</f>
        <v/>
      </c>
      <c r="AG63" s="406" t="s">
        <v>187</v>
      </c>
      <c r="AH63" s="407"/>
      <c r="AI63" s="407"/>
      <c r="AJ63" s="407"/>
      <c r="AK63" s="407"/>
      <c r="AL63" s="408"/>
      <c r="AM63" s="120"/>
      <c r="AN63" s="294" t="str">
        <f>CONCATENATE(IFERROR(VLOOKUP(AO63,法术大全!A:Y,2,FALSE),""),IFERROR(IF(VLOOKUP(AO63,法术大全!A:Y,5,FALSE)="√"," ",""),""))</f>
        <v/>
      </c>
      <c r="AO63" s="406"/>
      <c r="AP63" s="407"/>
      <c r="AQ63" s="407"/>
      <c r="AR63" s="407"/>
      <c r="AS63" s="407"/>
      <c r="AT63" s="408"/>
      <c r="AW63" s="308" t="str">
        <f>职业!BT54</f>
        <v/>
      </c>
      <c r="AX63" s="458"/>
      <c r="AY63" s="459"/>
      <c r="AZ63" s="459"/>
      <c r="BA63" s="459"/>
      <c r="BB63" s="460"/>
      <c r="BC63" s="461"/>
      <c r="BD63" s="461"/>
      <c r="BE63" s="461"/>
      <c r="BF63" s="461"/>
      <c r="BG63" s="461"/>
      <c r="BH63" s="461"/>
      <c r="BI63" s="461"/>
      <c r="BJ63" s="461"/>
      <c r="BK63" s="461"/>
      <c r="BL63" s="461"/>
      <c r="BM63" s="461"/>
      <c r="BN63" s="461"/>
      <c r="BO63" s="461"/>
      <c r="BP63" s="461"/>
      <c r="BQ63" s="461"/>
      <c r="BR63" s="461"/>
      <c r="BT63" s="621"/>
      <c r="BU63" s="622"/>
      <c r="BV63" s="622"/>
      <c r="BW63" s="622"/>
      <c r="BX63" s="622"/>
      <c r="BY63" s="622"/>
      <c r="BZ63" s="622"/>
      <c r="CA63" s="622"/>
      <c r="CB63" s="622"/>
      <c r="CC63" s="622"/>
      <c r="CD63" s="622"/>
      <c r="CE63" s="622"/>
      <c r="CF63" s="622"/>
      <c r="CG63" s="622"/>
      <c r="CH63" s="622"/>
      <c r="CI63" s="622"/>
      <c r="CJ63" s="622"/>
      <c r="CK63" s="622"/>
      <c r="CL63" s="622"/>
      <c r="CM63" s="622"/>
      <c r="CN63" s="622"/>
      <c r="CO63" s="623"/>
    </row>
    <row r="64" spans="1:93" ht="16.649999999999999" customHeight="1" x14ac:dyDescent="0.35">
      <c r="B64" s="400">
        <v>3</v>
      </c>
      <c r="C64" s="400"/>
      <c r="D64" s="400"/>
      <c r="E64" s="401"/>
      <c r="F64" s="402"/>
      <c r="G64" s="284" t="s">
        <v>91</v>
      </c>
      <c r="H64" s="403" t="str">
        <f>职业!AJ18</f>
        <v/>
      </c>
      <c r="I64" s="404"/>
      <c r="J64" s="405">
        <v>5</v>
      </c>
      <c r="K64" s="405"/>
      <c r="L64" s="405"/>
      <c r="W64" s="272"/>
      <c r="Z64" s="272"/>
      <c r="AA64" s="272"/>
      <c r="AB64" s="272"/>
      <c r="AC64" s="272"/>
      <c r="AD64" s="272"/>
      <c r="AE64" s="120"/>
      <c r="AF64" s="294" t="str">
        <f>CONCATENATE(IFERROR(VLOOKUP(AG64,法术大全!A:Y,2,FALSE),""),IFERROR(IF(VLOOKUP(AG64,法术大全!A:Y,5,FALSE)="√"," ",""),""))</f>
        <v/>
      </c>
      <c r="AG64" s="406"/>
      <c r="AH64" s="407"/>
      <c r="AI64" s="407"/>
      <c r="AJ64" s="407"/>
      <c r="AK64" s="407"/>
      <c r="AL64" s="408"/>
      <c r="AM64" s="120"/>
      <c r="AN64" s="294" t="str">
        <f>CONCATENATE(IFERROR(VLOOKUP(AO64,法术大全!A:Y,2,FALSE),""),IFERROR(IF(VLOOKUP(AO64,法术大全!A:Y,5,FALSE)="√"," ",""),""))</f>
        <v/>
      </c>
      <c r="AO64" s="406"/>
      <c r="AP64" s="407"/>
      <c r="AQ64" s="407"/>
      <c r="AR64" s="407"/>
      <c r="AS64" s="407"/>
      <c r="AT64" s="408"/>
      <c r="AW64" s="309" t="str">
        <f>职业!BT55</f>
        <v/>
      </c>
      <c r="AX64" s="463"/>
      <c r="AY64" s="464"/>
      <c r="AZ64" s="464"/>
      <c r="BA64" s="464"/>
      <c r="BB64" s="465"/>
      <c r="BC64" s="457"/>
      <c r="BD64" s="457"/>
      <c r="BE64" s="457"/>
      <c r="BF64" s="457"/>
      <c r="BG64" s="457"/>
      <c r="BH64" s="457"/>
      <c r="BI64" s="457"/>
      <c r="BJ64" s="457"/>
      <c r="BK64" s="457"/>
      <c r="BL64" s="457"/>
      <c r="BM64" s="457"/>
      <c r="BN64" s="457"/>
      <c r="BO64" s="457"/>
      <c r="BP64" s="457"/>
      <c r="BQ64" s="457"/>
      <c r="BR64" s="457"/>
      <c r="BT64" s="621"/>
      <c r="BU64" s="622"/>
      <c r="BV64" s="622"/>
      <c r="BW64" s="622"/>
      <c r="BX64" s="622"/>
      <c r="BY64" s="622"/>
      <c r="BZ64" s="622"/>
      <c r="CA64" s="622"/>
      <c r="CB64" s="622"/>
      <c r="CC64" s="622"/>
      <c r="CD64" s="622"/>
      <c r="CE64" s="622"/>
      <c r="CF64" s="622"/>
      <c r="CG64" s="622"/>
      <c r="CH64" s="622"/>
      <c r="CI64" s="622"/>
      <c r="CJ64" s="622"/>
      <c r="CK64" s="622"/>
      <c r="CL64" s="622"/>
      <c r="CM64" s="622"/>
      <c r="CN64" s="622"/>
      <c r="CO64" s="623"/>
    </row>
    <row r="65" spans="2:93" ht="16.649999999999999" customHeight="1" x14ac:dyDescent="0.35">
      <c r="B65" s="400">
        <v>4</v>
      </c>
      <c r="C65" s="400"/>
      <c r="D65" s="400"/>
      <c r="E65" s="401"/>
      <c r="F65" s="402"/>
      <c r="G65" s="284" t="s">
        <v>91</v>
      </c>
      <c r="H65" s="403" t="str">
        <f>职业!AJ19</f>
        <v/>
      </c>
      <c r="I65" s="404"/>
      <c r="J65" s="405">
        <v>6</v>
      </c>
      <c r="K65" s="405"/>
      <c r="L65" s="405"/>
      <c r="P65" s="466" t="s">
        <v>188</v>
      </c>
      <c r="Q65" s="466"/>
      <c r="R65" s="466"/>
      <c r="S65" s="466"/>
      <c r="T65" s="466"/>
      <c r="U65" s="466"/>
      <c r="V65" s="466"/>
      <c r="W65" s="466"/>
      <c r="X65" s="466"/>
      <c r="Y65" s="466"/>
      <c r="Z65" s="466"/>
      <c r="AA65" s="466"/>
      <c r="AB65" s="466"/>
      <c r="AC65" s="466"/>
      <c r="AD65" s="466"/>
      <c r="AE65" s="120"/>
      <c r="AF65" s="294" t="str">
        <f>CONCATENATE(IFERROR(VLOOKUP(AG65,法术大全!A:Y,2,FALSE),""),IFERROR(IF(VLOOKUP(AG65,法术大全!A:Y,5,FALSE)="√"," ",""),""))</f>
        <v/>
      </c>
      <c r="AG65" s="406"/>
      <c r="AH65" s="407"/>
      <c r="AI65" s="407"/>
      <c r="AJ65" s="407"/>
      <c r="AK65" s="407"/>
      <c r="AL65" s="408"/>
      <c r="AM65" s="120"/>
      <c r="AN65" s="294" t="str">
        <f>CONCATENATE(IFERROR(VLOOKUP(AO65,法术大全!A:Y,2,FALSE),""),IFERROR(IF(VLOOKUP(AO65,法术大全!A:Y,5,FALSE)="√"," ",""),""))</f>
        <v/>
      </c>
      <c r="AO65" s="406"/>
      <c r="AP65" s="407"/>
      <c r="AQ65" s="407"/>
      <c r="AR65" s="407"/>
      <c r="AS65" s="407"/>
      <c r="AT65" s="408"/>
      <c r="AW65" s="308" t="str">
        <f>职业!BT56</f>
        <v/>
      </c>
      <c r="AX65" s="458"/>
      <c r="AY65" s="459"/>
      <c r="AZ65" s="459"/>
      <c r="BA65" s="459"/>
      <c r="BB65" s="460"/>
      <c r="BC65" s="461"/>
      <c r="BD65" s="461"/>
      <c r="BE65" s="461"/>
      <c r="BF65" s="461"/>
      <c r="BG65" s="461"/>
      <c r="BH65" s="461"/>
      <c r="BI65" s="461"/>
      <c r="BJ65" s="461"/>
      <c r="BK65" s="461"/>
      <c r="BL65" s="461"/>
      <c r="BM65" s="461"/>
      <c r="BN65" s="461"/>
      <c r="BO65" s="461"/>
      <c r="BP65" s="461"/>
      <c r="BQ65" s="461"/>
      <c r="BR65" s="461"/>
      <c r="BT65" s="621"/>
      <c r="BU65" s="622"/>
      <c r="BV65" s="622"/>
      <c r="BW65" s="622"/>
      <c r="BX65" s="622"/>
      <c r="BY65" s="622"/>
      <c r="BZ65" s="622"/>
      <c r="CA65" s="622"/>
      <c r="CB65" s="622"/>
      <c r="CC65" s="622"/>
      <c r="CD65" s="622"/>
      <c r="CE65" s="622"/>
      <c r="CF65" s="622"/>
      <c r="CG65" s="622"/>
      <c r="CH65" s="622"/>
      <c r="CI65" s="622"/>
      <c r="CJ65" s="622"/>
      <c r="CK65" s="622"/>
      <c r="CL65" s="622"/>
      <c r="CM65" s="622"/>
      <c r="CN65" s="622"/>
      <c r="CO65" s="623"/>
    </row>
    <row r="66" spans="2:93" ht="16.649999999999999" customHeight="1" x14ac:dyDescent="0.35">
      <c r="B66" s="400">
        <v>5</v>
      </c>
      <c r="C66" s="400"/>
      <c r="D66" s="400"/>
      <c r="E66" s="401"/>
      <c r="F66" s="402"/>
      <c r="G66" s="284" t="s">
        <v>91</v>
      </c>
      <c r="H66" s="403" t="str">
        <f>职业!AJ20</f>
        <v/>
      </c>
      <c r="I66" s="404"/>
      <c r="J66" s="405">
        <v>7</v>
      </c>
      <c r="K66" s="405"/>
      <c r="L66" s="405"/>
      <c r="P66" s="120" t="s">
        <v>55</v>
      </c>
      <c r="Q66" s="462" t="s">
        <v>180</v>
      </c>
      <c r="R66" s="462"/>
      <c r="S66" s="462"/>
      <c r="T66" s="462"/>
      <c r="U66" s="462"/>
      <c r="V66" s="462"/>
      <c r="W66" s="272"/>
      <c r="X66" s="120" t="s">
        <v>55</v>
      </c>
      <c r="Y66" s="462" t="s">
        <v>180</v>
      </c>
      <c r="Z66" s="462"/>
      <c r="AA66" s="462"/>
      <c r="AB66" s="462"/>
      <c r="AC66" s="462"/>
      <c r="AD66" s="462"/>
      <c r="AE66" s="120"/>
      <c r="AF66" s="294" t="str">
        <f>CONCATENATE(IFERROR(VLOOKUP(AG66,法术大全!A:Y,2,FALSE),""),IFERROR(IF(VLOOKUP(AG66,法术大全!A:Y,5,FALSE)="√"," ",""),""))</f>
        <v/>
      </c>
      <c r="AG66" s="406"/>
      <c r="AH66" s="407"/>
      <c r="AI66" s="407"/>
      <c r="AJ66" s="407"/>
      <c r="AK66" s="407"/>
      <c r="AL66" s="408"/>
      <c r="AM66" s="120"/>
      <c r="AN66" s="294" t="str">
        <f>CONCATENATE(IFERROR(VLOOKUP(AO66,法术大全!A:Y,2,FALSE),""),IFERROR(IF(VLOOKUP(AO66,法术大全!A:Y,5,FALSE)="√"," ",""),""))</f>
        <v/>
      </c>
      <c r="AO66" s="406"/>
      <c r="AP66" s="407"/>
      <c r="AQ66" s="407"/>
      <c r="AR66" s="407"/>
      <c r="AS66" s="407"/>
      <c r="AT66" s="408"/>
      <c r="AW66" s="309" t="str">
        <f>职业!BT57</f>
        <v/>
      </c>
      <c r="AX66" s="463"/>
      <c r="AY66" s="464"/>
      <c r="AZ66" s="464"/>
      <c r="BA66" s="464"/>
      <c r="BB66" s="465"/>
      <c r="BC66" s="457"/>
      <c r="BD66" s="457"/>
      <c r="BE66" s="457"/>
      <c r="BF66" s="457"/>
      <c r="BG66" s="457"/>
      <c r="BH66" s="457"/>
      <c r="BI66" s="457"/>
      <c r="BJ66" s="457"/>
      <c r="BK66" s="457"/>
      <c r="BL66" s="457"/>
      <c r="BM66" s="457"/>
      <c r="BN66" s="457"/>
      <c r="BO66" s="457"/>
      <c r="BP66" s="457"/>
      <c r="BQ66" s="457"/>
      <c r="BR66" s="457"/>
      <c r="BT66" s="621"/>
      <c r="BU66" s="622"/>
      <c r="BV66" s="622"/>
      <c r="BW66" s="622"/>
      <c r="BX66" s="622"/>
      <c r="BY66" s="622"/>
      <c r="BZ66" s="622"/>
      <c r="CA66" s="622"/>
      <c r="CB66" s="622"/>
      <c r="CC66" s="622"/>
      <c r="CD66" s="622"/>
      <c r="CE66" s="622"/>
      <c r="CF66" s="622"/>
      <c r="CG66" s="622"/>
      <c r="CH66" s="622"/>
      <c r="CI66" s="622"/>
      <c r="CJ66" s="622"/>
      <c r="CK66" s="622"/>
      <c r="CL66" s="622"/>
      <c r="CM66" s="622"/>
      <c r="CN66" s="622"/>
      <c r="CO66" s="623"/>
    </row>
    <row r="67" spans="2:93" ht="16.649999999999999" customHeight="1" x14ac:dyDescent="0.35">
      <c r="B67" s="400">
        <v>6</v>
      </c>
      <c r="C67" s="400"/>
      <c r="D67" s="400"/>
      <c r="E67" s="401"/>
      <c r="F67" s="402"/>
      <c r="G67" s="284" t="s">
        <v>91</v>
      </c>
      <c r="H67" s="403" t="str">
        <f>职业!AJ21</f>
        <v/>
      </c>
      <c r="I67" s="404"/>
      <c r="J67" s="405">
        <v>9</v>
      </c>
      <c r="K67" s="405"/>
      <c r="L67" s="405"/>
      <c r="P67" s="294" t="str">
        <f>CONCATENATE(IFERROR(VLOOKUP(Q67,法术大全!A:Y,2,FALSE),""),IFERROR(IF(VLOOKUP(Q67,法术大全!A:Y,5,FALSE)="√"," ",""),""))</f>
        <v/>
      </c>
      <c r="Q67" s="399"/>
      <c r="R67" s="399"/>
      <c r="S67" s="399"/>
      <c r="T67" s="399"/>
      <c r="U67" s="399"/>
      <c r="V67" s="399"/>
      <c r="W67" s="272"/>
      <c r="X67" s="294" t="str">
        <f>CONCATENATE(IFERROR(VLOOKUP(Y67,法术大全!A:Y,2,FALSE),""),IFERROR(IF(VLOOKUP(Y67,法术大全!A:Y,5,FALSE)="√"," ",""),""))</f>
        <v/>
      </c>
      <c r="Y67" s="399"/>
      <c r="Z67" s="399"/>
      <c r="AA67" s="399"/>
      <c r="AB67" s="399"/>
      <c r="AC67" s="399"/>
      <c r="AD67" s="399"/>
      <c r="AE67" s="120"/>
      <c r="AF67" s="294" t="str">
        <f>CONCATENATE(IFERROR(VLOOKUP(AG67,法术大全!A:Y,2,FALSE),""),IFERROR(IF(VLOOKUP(AG67,法术大全!A:Y,5,FALSE)="√"," ",""),""))</f>
        <v/>
      </c>
      <c r="AG67" s="406"/>
      <c r="AH67" s="407"/>
      <c r="AI67" s="407"/>
      <c r="AJ67" s="407"/>
      <c r="AK67" s="407"/>
      <c r="AL67" s="408"/>
      <c r="AM67" s="120"/>
      <c r="AN67" s="294" t="str">
        <f>CONCATENATE(IFERROR(VLOOKUP(AO67,法术大全!A:Y,2,FALSE),""),IFERROR(IF(VLOOKUP(AO67,法术大全!A:Y,5,FALSE)="√"," ",""),""))</f>
        <v/>
      </c>
      <c r="AO67" s="406"/>
      <c r="AP67" s="407"/>
      <c r="AQ67" s="407"/>
      <c r="AR67" s="407"/>
      <c r="AS67" s="407"/>
      <c r="AT67" s="408"/>
      <c r="AW67" s="308" t="str">
        <f>职业!BT58</f>
        <v/>
      </c>
      <c r="AX67" s="458"/>
      <c r="AY67" s="459"/>
      <c r="AZ67" s="459"/>
      <c r="BA67" s="459"/>
      <c r="BB67" s="460"/>
      <c r="BC67" s="461"/>
      <c r="BD67" s="461"/>
      <c r="BE67" s="461"/>
      <c r="BF67" s="461"/>
      <c r="BG67" s="461"/>
      <c r="BH67" s="461"/>
      <c r="BI67" s="461"/>
      <c r="BJ67" s="461"/>
      <c r="BK67" s="461"/>
      <c r="BL67" s="461"/>
      <c r="BM67" s="461"/>
      <c r="BN67" s="461"/>
      <c r="BO67" s="461"/>
      <c r="BP67" s="461"/>
      <c r="BQ67" s="461"/>
      <c r="BR67" s="461"/>
      <c r="BT67" s="624"/>
      <c r="BU67" s="625"/>
      <c r="BV67" s="625"/>
      <c r="BW67" s="625"/>
      <c r="BX67" s="625"/>
      <c r="BY67" s="625"/>
      <c r="BZ67" s="625"/>
      <c r="CA67" s="625"/>
      <c r="CB67" s="625"/>
      <c r="CC67" s="625"/>
      <c r="CD67" s="625"/>
      <c r="CE67" s="625"/>
      <c r="CF67" s="625"/>
      <c r="CG67" s="625"/>
      <c r="CH67" s="625"/>
      <c r="CI67" s="625"/>
      <c r="CJ67" s="625"/>
      <c r="CK67" s="625"/>
      <c r="CL67" s="625"/>
      <c r="CM67" s="625"/>
      <c r="CN67" s="625"/>
      <c r="CO67" s="626"/>
    </row>
    <row r="68" spans="2:93" ht="16.649999999999999" customHeight="1" x14ac:dyDescent="0.35">
      <c r="B68" s="400">
        <v>7</v>
      </c>
      <c r="C68" s="400"/>
      <c r="D68" s="400"/>
      <c r="E68" s="401"/>
      <c r="F68" s="402"/>
      <c r="G68" s="284" t="s">
        <v>91</v>
      </c>
      <c r="H68" s="403" t="str">
        <f>职业!AJ22</f>
        <v/>
      </c>
      <c r="I68" s="404"/>
      <c r="J68" s="405">
        <v>10</v>
      </c>
      <c r="K68" s="405"/>
      <c r="L68" s="405"/>
      <c r="P68" s="294" t="str">
        <f>CONCATENATE(IFERROR(VLOOKUP(Q68,法术大全!A:Y,2,FALSE),""),IFERROR(IF(VLOOKUP(Q68,法术大全!A:Y,5,FALSE)="√"," ",""),""))</f>
        <v/>
      </c>
      <c r="Q68" s="399"/>
      <c r="R68" s="399"/>
      <c r="S68" s="399"/>
      <c r="T68" s="399"/>
      <c r="U68" s="399"/>
      <c r="V68" s="399"/>
      <c r="W68" s="272"/>
      <c r="X68" s="294" t="str">
        <f>CONCATENATE(IFERROR(VLOOKUP(Y68,法术大全!A:Y,2,FALSE),""),IFERROR(IF(VLOOKUP(Y68,法术大全!A:Y,5,FALSE)="√"," ",""),""))</f>
        <v/>
      </c>
      <c r="Y68" s="399"/>
      <c r="Z68" s="399"/>
      <c r="AA68" s="399"/>
      <c r="AB68" s="399"/>
      <c r="AC68" s="399"/>
      <c r="AD68" s="399"/>
      <c r="AE68" s="120"/>
      <c r="AF68" s="294" t="str">
        <f>CONCATENATE(IFERROR(VLOOKUP(AG68,法术大全!A:Y,2,FALSE),""),IFERROR(IF(VLOOKUP(AG68,法术大全!A:Y,5,FALSE)="√"," ",""),""))</f>
        <v/>
      </c>
      <c r="AG68" s="406"/>
      <c r="AH68" s="407"/>
      <c r="AI68" s="407"/>
      <c r="AJ68" s="407"/>
      <c r="AK68" s="407"/>
      <c r="AL68" s="408"/>
      <c r="AM68" s="120"/>
      <c r="AN68" s="294" t="str">
        <f>CONCATENATE(IFERROR(VLOOKUP(AO68,法术大全!A:Y,2,FALSE),""),IFERROR(IF(VLOOKUP(AO68,法术大全!A:Y,5,FALSE)="√"," ",""),""))</f>
        <v/>
      </c>
      <c r="AO68" s="406"/>
      <c r="AP68" s="407"/>
      <c r="AQ68" s="407"/>
      <c r="AR68" s="407"/>
      <c r="AS68" s="407"/>
      <c r="AT68" s="408"/>
    </row>
    <row r="69" spans="2:93" ht="16.649999999999999" customHeight="1" x14ac:dyDescent="0.35">
      <c r="B69" s="400">
        <v>8</v>
      </c>
      <c r="C69" s="400"/>
      <c r="D69" s="400"/>
      <c r="E69" s="401"/>
      <c r="F69" s="402"/>
      <c r="G69" s="284" t="s">
        <v>91</v>
      </c>
      <c r="H69" s="403" t="str">
        <f>职业!AJ23</f>
        <v/>
      </c>
      <c r="I69" s="404"/>
      <c r="J69" s="405">
        <v>11</v>
      </c>
      <c r="K69" s="405"/>
      <c r="L69" s="405"/>
      <c r="P69" s="294" t="str">
        <f>CONCATENATE(IFERROR(VLOOKUP(Q69,法术大全!A:Y,2,FALSE),""),IFERROR(IF(VLOOKUP(Q69,法术大全!A:Y,5,FALSE)="√"," ",""),""))</f>
        <v/>
      </c>
      <c r="Q69" s="399"/>
      <c r="R69" s="399"/>
      <c r="S69" s="399"/>
      <c r="T69" s="399"/>
      <c r="U69" s="399"/>
      <c r="V69" s="399"/>
      <c r="W69" s="272"/>
      <c r="X69" s="294" t="str">
        <f>CONCATENATE(IFERROR(VLOOKUP(Y69,法术大全!A:Y,2,FALSE),""),IFERROR(IF(VLOOKUP(Y69,法术大全!A:Y,5,FALSE)="√"," ",""),""))</f>
        <v/>
      </c>
      <c r="Y69" s="399"/>
      <c r="Z69" s="399"/>
      <c r="AA69" s="399"/>
      <c r="AB69" s="399"/>
      <c r="AC69" s="399"/>
      <c r="AD69" s="399"/>
      <c r="AE69" s="120"/>
      <c r="AF69" s="294" t="str">
        <f>CONCATENATE(IFERROR(VLOOKUP(AG69,法术大全!A:Y,2,FALSE),""),IFERROR(IF(VLOOKUP(AG69,法术大全!A:Y,5,FALSE)="√"," ",""),""))</f>
        <v/>
      </c>
      <c r="AG69" s="406"/>
      <c r="AH69" s="407"/>
      <c r="AI69" s="407"/>
      <c r="AJ69" s="407"/>
      <c r="AK69" s="407"/>
      <c r="AL69" s="408"/>
      <c r="AM69" s="120"/>
      <c r="AN69" s="294" t="str">
        <f>CONCATENATE(IFERROR(VLOOKUP(AO69,法术大全!A:Y,2,FALSE),""),IFERROR(IF(VLOOKUP(AO69,法术大全!A:Y,5,FALSE)="√"," ",""),""))</f>
        <v/>
      </c>
      <c r="AO69" s="406"/>
      <c r="AP69" s="407"/>
      <c r="AQ69" s="407"/>
      <c r="AR69" s="407"/>
      <c r="AS69" s="407"/>
      <c r="AT69" s="408"/>
      <c r="AW69" s="445" t="s">
        <v>189</v>
      </c>
      <c r="AX69" s="445"/>
      <c r="AY69" s="445"/>
      <c r="AZ69" s="445"/>
      <c r="BA69" s="445"/>
      <c r="BB69" s="445"/>
      <c r="BC69" s="445"/>
      <c r="BD69" s="445"/>
      <c r="BE69" s="445"/>
      <c r="BF69" s="445"/>
      <c r="BG69" s="445"/>
      <c r="BH69" s="445"/>
      <c r="BI69" s="445"/>
      <c r="BJ69" s="445"/>
      <c r="BK69" s="445"/>
      <c r="BL69" s="445"/>
      <c r="BM69" s="445"/>
      <c r="BN69" s="445"/>
      <c r="BO69" s="445"/>
      <c r="BP69" s="445"/>
      <c r="BQ69" s="445"/>
      <c r="BR69" s="445"/>
      <c r="BS69" s="445"/>
      <c r="BT69" s="445"/>
      <c r="BU69" s="445"/>
      <c r="BV69" s="445"/>
      <c r="BW69" s="445"/>
      <c r="BX69" s="445"/>
      <c r="BY69" s="445"/>
      <c r="BZ69" s="445"/>
      <c r="CA69" s="445"/>
      <c r="CB69" s="445"/>
      <c r="CC69" s="445"/>
      <c r="CD69" s="445"/>
      <c r="CE69" s="445"/>
      <c r="CF69" s="445"/>
      <c r="CG69" s="445"/>
      <c r="CH69" s="445"/>
      <c r="CI69" s="445"/>
      <c r="CJ69" s="445"/>
      <c r="CK69" s="445"/>
      <c r="CL69" s="445"/>
      <c r="CM69" s="445"/>
      <c r="CN69" s="445"/>
      <c r="CO69" s="445"/>
    </row>
    <row r="70" spans="2:93" ht="16.649999999999999" customHeight="1" x14ac:dyDescent="0.35">
      <c r="B70" s="400">
        <v>9</v>
      </c>
      <c r="C70" s="400"/>
      <c r="D70" s="400"/>
      <c r="E70" s="401"/>
      <c r="F70" s="402"/>
      <c r="G70" s="284" t="s">
        <v>91</v>
      </c>
      <c r="H70" s="403" t="str">
        <f>职业!AJ24</f>
        <v/>
      </c>
      <c r="I70" s="404"/>
      <c r="J70" s="446">
        <v>13</v>
      </c>
      <c r="K70" s="446"/>
      <c r="L70" s="446"/>
      <c r="P70" s="294" t="str">
        <f>CONCATENATE(IFERROR(VLOOKUP(Q70,法术大全!A:Y,2,FALSE),""),IFERROR(IF(VLOOKUP(Q70,法术大全!A:Y,5,FALSE)="√"," ",""),""))</f>
        <v/>
      </c>
      <c r="Q70" s="399"/>
      <c r="R70" s="399"/>
      <c r="S70" s="399"/>
      <c r="T70" s="399"/>
      <c r="U70" s="399"/>
      <c r="V70" s="399"/>
      <c r="W70" s="272"/>
      <c r="X70" s="294" t="str">
        <f>CONCATENATE(IFERROR(VLOOKUP(Y70,法术大全!A:Y,2,FALSE),""),IFERROR(IF(VLOOKUP(Y70,法术大全!A:Y,5,FALSE)="√"," ",""),""))</f>
        <v/>
      </c>
      <c r="Y70" s="399"/>
      <c r="Z70" s="399"/>
      <c r="AA70" s="399"/>
      <c r="AB70" s="399"/>
      <c r="AC70" s="399"/>
      <c r="AD70" s="399"/>
      <c r="AE70" s="120"/>
      <c r="AF70" s="294" t="str">
        <f>CONCATENATE(IFERROR(VLOOKUP(AG70,法术大全!A:Y,2,FALSE),""),IFERROR(IF(VLOOKUP(AG70,法术大全!A:Y,5,FALSE)="√"," ",""),""))</f>
        <v/>
      </c>
      <c r="AG70" s="406"/>
      <c r="AH70" s="407"/>
      <c r="AI70" s="407"/>
      <c r="AJ70" s="407"/>
      <c r="AK70" s="407"/>
      <c r="AL70" s="408"/>
      <c r="AM70" s="120"/>
      <c r="AN70" s="294" t="str">
        <f>CONCATENATE(IFERROR(VLOOKUP(AO70,法术大全!A:Y,2,FALSE),""),IFERROR(IF(VLOOKUP(AO70,法术大全!A:Y,5,FALSE)="√"," ",""),""))</f>
        <v/>
      </c>
      <c r="AO70" s="406"/>
      <c r="AP70" s="407"/>
      <c r="AQ70" s="407"/>
      <c r="AR70" s="407"/>
      <c r="AS70" s="407"/>
      <c r="AT70" s="408"/>
      <c r="AW70" s="442"/>
      <c r="AX70" s="442"/>
      <c r="AY70" s="442"/>
      <c r="AZ70" s="442"/>
      <c r="BA70" s="442"/>
      <c r="BB70" s="442"/>
      <c r="BC70" s="442"/>
      <c r="BD70" s="442"/>
      <c r="BE70" s="442"/>
      <c r="BF70" s="442"/>
      <c r="BG70" s="442"/>
      <c r="BH70" s="442"/>
      <c r="BI70" s="442"/>
      <c r="BJ70" s="442"/>
      <c r="BK70" s="442"/>
      <c r="BL70" s="442"/>
      <c r="BM70" s="442"/>
      <c r="BN70" s="442"/>
      <c r="BO70" s="442"/>
      <c r="BP70" s="442"/>
      <c r="BQ70" s="442"/>
      <c r="BR70" s="442"/>
      <c r="BS70" s="442"/>
      <c r="BT70" s="442"/>
      <c r="BU70" s="442"/>
      <c r="BV70" s="442"/>
      <c r="BW70" s="442"/>
      <c r="BX70" s="442"/>
      <c r="BY70" s="442"/>
      <c r="BZ70" s="442"/>
      <c r="CA70" s="442"/>
      <c r="CB70" s="442"/>
      <c r="CC70" s="442"/>
      <c r="CD70" s="442"/>
      <c r="CE70" s="442"/>
      <c r="CF70" s="442"/>
      <c r="CG70" s="442"/>
      <c r="CH70" s="442"/>
      <c r="CI70" s="442"/>
      <c r="CJ70" s="442"/>
      <c r="CK70" s="442"/>
      <c r="CL70" s="442"/>
      <c r="CM70" s="442"/>
      <c r="CN70" s="442"/>
      <c r="CO70" s="442"/>
    </row>
    <row r="71" spans="2:93" ht="16.649999999999999" customHeight="1" x14ac:dyDescent="0.35">
      <c r="B71" s="607" t="s">
        <v>190</v>
      </c>
      <c r="C71" s="608"/>
      <c r="D71" s="608"/>
      <c r="E71" s="608"/>
      <c r="F71" s="608"/>
      <c r="G71" s="608"/>
      <c r="H71" s="617"/>
      <c r="I71" s="617"/>
      <c r="J71" s="284" t="s">
        <v>91</v>
      </c>
      <c r="K71" s="453">
        <f>职业!AF24</f>
        <v>0</v>
      </c>
      <c r="L71" s="454"/>
      <c r="P71" s="294" t="str">
        <f>CONCATENATE(IFERROR(VLOOKUP(Q71,法术大全!A:Y,2,FALSE),""),IFERROR(IF(VLOOKUP(Q71,法术大全!A:Y,5,FALSE)="√"," ",""),""))</f>
        <v/>
      </c>
      <c r="Q71" s="399" t="s">
        <v>187</v>
      </c>
      <c r="R71" s="399"/>
      <c r="S71" s="399"/>
      <c r="T71" s="399"/>
      <c r="U71" s="399"/>
      <c r="V71" s="399"/>
      <c r="W71" s="272"/>
      <c r="X71" s="294" t="str">
        <f>CONCATENATE(IFERROR(VLOOKUP(Y71,法术大全!A:Y,2,FALSE),""),IFERROR(IF(VLOOKUP(Y71,法术大全!A:Y,5,FALSE)="√"," ",""),""))</f>
        <v/>
      </c>
      <c r="Y71" s="399"/>
      <c r="Z71" s="399"/>
      <c r="AA71" s="399"/>
      <c r="AB71" s="399"/>
      <c r="AC71" s="399"/>
      <c r="AD71" s="399"/>
      <c r="AE71" s="120"/>
      <c r="AF71" s="294" t="str">
        <f>CONCATENATE(IFERROR(VLOOKUP(AG71,法术大全!A:Y,2,FALSE),""),IFERROR(IF(VLOOKUP(AG71,法术大全!A:Y,5,FALSE)="√"," ",""),""))</f>
        <v/>
      </c>
      <c r="AG71" s="406"/>
      <c r="AH71" s="407"/>
      <c r="AI71" s="407"/>
      <c r="AJ71" s="407"/>
      <c r="AK71" s="407"/>
      <c r="AL71" s="408"/>
      <c r="AM71" s="120"/>
      <c r="AN71" s="294" t="str">
        <f>CONCATENATE(IFERROR(VLOOKUP(AO71,法术大全!A:Y,2,FALSE),""),IFERROR(IF(VLOOKUP(AO71,法术大全!A:Y,5,FALSE)="√"," ",""),""))</f>
        <v/>
      </c>
      <c r="AO71" s="406"/>
      <c r="AP71" s="407"/>
      <c r="AQ71" s="407"/>
      <c r="AR71" s="407"/>
      <c r="AS71" s="407"/>
      <c r="AT71" s="408"/>
      <c r="AW71" s="442"/>
      <c r="AX71" s="442"/>
      <c r="AY71" s="442"/>
      <c r="AZ71" s="442"/>
      <c r="BA71" s="442"/>
      <c r="BB71" s="442"/>
      <c r="BC71" s="442"/>
      <c r="BD71" s="442"/>
      <c r="BE71" s="442"/>
      <c r="BF71" s="442"/>
      <c r="BG71" s="442"/>
      <c r="BH71" s="442"/>
      <c r="BI71" s="442"/>
      <c r="BJ71" s="442"/>
      <c r="BK71" s="442"/>
      <c r="BL71" s="442"/>
      <c r="BM71" s="442"/>
      <c r="BN71" s="442"/>
      <c r="BO71" s="442"/>
      <c r="BP71" s="442"/>
      <c r="BQ71" s="442"/>
      <c r="BR71" s="442"/>
      <c r="BS71" s="442"/>
      <c r="BT71" s="442"/>
      <c r="BU71" s="442"/>
      <c r="BV71" s="442"/>
      <c r="BW71" s="442"/>
      <c r="BX71" s="442"/>
      <c r="BY71" s="442"/>
      <c r="BZ71" s="442"/>
      <c r="CA71" s="442"/>
      <c r="CB71" s="442"/>
      <c r="CC71" s="442"/>
      <c r="CD71" s="442"/>
      <c r="CE71" s="442"/>
      <c r="CF71" s="442"/>
      <c r="CG71" s="442"/>
      <c r="CH71" s="442"/>
      <c r="CI71" s="442"/>
      <c r="CJ71" s="442"/>
      <c r="CK71" s="442"/>
      <c r="CL71" s="442"/>
      <c r="CM71" s="442"/>
      <c r="CN71" s="442"/>
      <c r="CO71" s="442"/>
    </row>
    <row r="72" spans="2:93" ht="16.649999999999999" customHeight="1" x14ac:dyDescent="0.25">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W72" s="442"/>
      <c r="AX72" s="442"/>
      <c r="AY72" s="442"/>
      <c r="AZ72" s="442"/>
      <c r="BA72" s="442"/>
      <c r="BB72" s="442"/>
      <c r="BC72" s="442"/>
      <c r="BD72" s="442"/>
      <c r="BE72" s="442"/>
      <c r="BF72" s="442"/>
      <c r="BG72" s="442"/>
      <c r="BH72" s="442"/>
      <c r="BI72" s="442"/>
      <c r="BJ72" s="442"/>
      <c r="BK72" s="442"/>
      <c r="BL72" s="442"/>
      <c r="BM72" s="442"/>
      <c r="BN72" s="442"/>
      <c r="BO72" s="442"/>
      <c r="BP72" s="442"/>
      <c r="BQ72" s="442"/>
      <c r="BR72" s="442"/>
      <c r="BS72" s="442"/>
      <c r="BT72" s="442"/>
      <c r="BU72" s="442"/>
      <c r="BV72" s="442"/>
      <c r="BW72" s="442"/>
      <c r="BX72" s="442"/>
      <c r="BY72" s="442"/>
      <c r="BZ72" s="442"/>
      <c r="CA72" s="442"/>
      <c r="CB72" s="442"/>
      <c r="CC72" s="442"/>
      <c r="CD72" s="442"/>
      <c r="CE72" s="442"/>
      <c r="CF72" s="442"/>
      <c r="CG72" s="442"/>
      <c r="CH72" s="442"/>
      <c r="CI72" s="442"/>
      <c r="CJ72" s="442"/>
      <c r="CK72" s="442"/>
      <c r="CL72" s="442"/>
      <c r="CM72" s="442"/>
      <c r="CN72" s="442"/>
      <c r="CO72" s="442"/>
    </row>
    <row r="73" spans="2:93" ht="16.649999999999999" customHeight="1" x14ac:dyDescent="0.25">
      <c r="B73" s="443" t="s">
        <v>191</v>
      </c>
      <c r="C73" s="443"/>
      <c r="D73" s="443"/>
      <c r="E73" s="443"/>
      <c r="F73" s="443"/>
      <c r="G73" s="443"/>
      <c r="H73" s="443"/>
      <c r="I73" s="443"/>
      <c r="J73" s="443"/>
      <c r="K73" s="443"/>
      <c r="L73" s="443"/>
      <c r="M73" s="443"/>
      <c r="N73" s="443"/>
      <c r="O73" s="443"/>
      <c r="P73" s="443"/>
      <c r="R73" s="444" t="s">
        <v>192</v>
      </c>
      <c r="S73" s="444"/>
      <c r="T73" s="444"/>
      <c r="U73" s="444"/>
      <c r="V73" s="444"/>
      <c r="W73" s="444"/>
      <c r="X73" s="444"/>
      <c r="Y73" s="444"/>
      <c r="Z73" s="444"/>
      <c r="AA73" s="444"/>
      <c r="AB73" s="444"/>
      <c r="AC73" s="444"/>
      <c r="AD73" s="444"/>
      <c r="AE73" s="444"/>
      <c r="AF73" s="444"/>
      <c r="AG73" s="444"/>
      <c r="AH73" s="444"/>
      <c r="AI73" s="444"/>
      <c r="AJ73" s="444"/>
      <c r="AK73" s="444"/>
      <c r="AL73" s="444"/>
      <c r="AM73" s="444"/>
      <c r="AN73" s="444"/>
      <c r="AO73" s="444"/>
      <c r="AP73" s="444"/>
      <c r="AQ73" s="444"/>
      <c r="AR73" s="444"/>
      <c r="AS73" s="444"/>
      <c r="AT73" s="444"/>
      <c r="AW73" s="442"/>
      <c r="AX73" s="442"/>
      <c r="AY73" s="442"/>
      <c r="AZ73" s="442"/>
      <c r="BA73" s="442"/>
      <c r="BB73" s="442"/>
      <c r="BC73" s="442"/>
      <c r="BD73" s="442"/>
      <c r="BE73" s="442"/>
      <c r="BF73" s="442"/>
      <c r="BG73" s="442"/>
      <c r="BH73" s="442"/>
      <c r="BI73" s="442"/>
      <c r="BJ73" s="442"/>
      <c r="BK73" s="442"/>
      <c r="BL73" s="442"/>
      <c r="BM73" s="442"/>
      <c r="BN73" s="442"/>
      <c r="BO73" s="442"/>
      <c r="BP73" s="442"/>
      <c r="BQ73" s="442"/>
      <c r="BR73" s="442"/>
      <c r="BS73" s="442"/>
      <c r="BT73" s="442"/>
      <c r="BU73" s="442"/>
      <c r="BV73" s="442"/>
      <c r="BW73" s="442"/>
      <c r="BX73" s="442"/>
      <c r="BY73" s="442"/>
      <c r="BZ73" s="442"/>
      <c r="CA73" s="442"/>
      <c r="CB73" s="442"/>
      <c r="CC73" s="442"/>
      <c r="CD73" s="442"/>
      <c r="CE73" s="442"/>
      <c r="CF73" s="442"/>
      <c r="CG73" s="442"/>
      <c r="CH73" s="442"/>
      <c r="CI73" s="442"/>
      <c r="CJ73" s="442"/>
      <c r="CK73" s="442"/>
      <c r="CL73" s="442"/>
      <c r="CM73" s="442"/>
      <c r="CN73" s="442"/>
      <c r="CO73" s="442"/>
    </row>
    <row r="74" spans="2:93" ht="16.649999999999999" customHeight="1" x14ac:dyDescent="0.35">
      <c r="B74" s="441" t="s">
        <v>193</v>
      </c>
      <c r="C74" s="441"/>
      <c r="D74" s="441"/>
      <c r="E74" s="441"/>
      <c r="F74" s="441"/>
      <c r="G74" s="441"/>
      <c r="I74" s="441" t="s">
        <v>194</v>
      </c>
      <c r="J74" s="441"/>
      <c r="K74" s="441"/>
      <c r="L74" s="441"/>
      <c r="M74" s="441"/>
      <c r="N74" s="441"/>
      <c r="O74" s="441"/>
      <c r="P74" s="441"/>
      <c r="R74" s="452" t="str">
        <f>IFERROR(VLOOKUP(B75,法术大全!A:Y,13,FALSE),"")</f>
        <v/>
      </c>
      <c r="S74" s="452"/>
      <c r="T74" s="452"/>
      <c r="U74" s="452"/>
      <c r="V74" s="452"/>
      <c r="W74" s="452"/>
      <c r="X74" s="452"/>
      <c r="Y74" s="452"/>
      <c r="Z74" s="452"/>
      <c r="AA74" s="452"/>
      <c r="AB74" s="452"/>
      <c r="AC74" s="452"/>
      <c r="AD74" s="452"/>
      <c r="AE74" s="452"/>
      <c r="AF74" s="452"/>
      <c r="AG74" s="452"/>
      <c r="AH74" s="452"/>
      <c r="AI74" s="452"/>
      <c r="AJ74" s="452"/>
      <c r="AK74" s="452"/>
      <c r="AL74" s="452"/>
      <c r="AM74" s="452"/>
      <c r="AN74" s="452"/>
      <c r="AO74" s="452"/>
      <c r="AP74" s="452"/>
      <c r="AQ74" s="452"/>
      <c r="AR74" s="452"/>
      <c r="AS74" s="452"/>
      <c r="AT74" s="452"/>
      <c r="AW74" s="442"/>
      <c r="AX74" s="442"/>
      <c r="AY74" s="442"/>
      <c r="AZ74" s="442"/>
      <c r="BA74" s="442"/>
      <c r="BB74" s="442"/>
      <c r="BC74" s="442"/>
      <c r="BD74" s="442"/>
      <c r="BE74" s="442"/>
      <c r="BF74" s="442"/>
      <c r="BG74" s="442"/>
      <c r="BH74" s="442"/>
      <c r="BI74" s="442"/>
      <c r="BJ74" s="442"/>
      <c r="BK74" s="442"/>
      <c r="BL74" s="442"/>
      <c r="BM74" s="442"/>
      <c r="BN74" s="442"/>
      <c r="BO74" s="442"/>
      <c r="BP74" s="442"/>
      <c r="BQ74" s="442"/>
      <c r="BR74" s="442"/>
      <c r="BS74" s="442"/>
      <c r="BT74" s="442"/>
      <c r="BU74" s="442"/>
      <c r="BV74" s="442"/>
      <c r="BW74" s="442"/>
      <c r="BX74" s="442"/>
      <c r="BY74" s="442"/>
      <c r="BZ74" s="442"/>
      <c r="CA74" s="442"/>
      <c r="CB74" s="442"/>
      <c r="CC74" s="442"/>
      <c r="CD74" s="442"/>
      <c r="CE74" s="442"/>
      <c r="CF74" s="442"/>
      <c r="CG74" s="442"/>
      <c r="CH74" s="442"/>
      <c r="CI74" s="442"/>
      <c r="CJ74" s="442"/>
      <c r="CK74" s="442"/>
      <c r="CL74" s="442"/>
      <c r="CM74" s="442"/>
      <c r="CN74" s="442"/>
      <c r="CO74" s="442"/>
    </row>
    <row r="75" spans="2:93" ht="16.649999999999999" customHeight="1" x14ac:dyDescent="0.25">
      <c r="B75" s="399"/>
      <c r="C75" s="399"/>
      <c r="D75" s="399"/>
      <c r="E75" s="399"/>
      <c r="F75" s="399"/>
      <c r="G75" s="399"/>
      <c r="I75" s="447" t="str">
        <f>IFERROR(VLOOKUP(B75,法术大全!A:Y,7,FALSE),"")</f>
        <v/>
      </c>
      <c r="J75" s="447"/>
      <c r="K75" s="447"/>
      <c r="L75" s="447"/>
      <c r="M75" s="447"/>
      <c r="N75" s="447"/>
      <c r="O75" s="447"/>
      <c r="P75" s="447"/>
      <c r="R75" s="452"/>
      <c r="S75" s="452"/>
      <c r="T75" s="452"/>
      <c r="U75" s="452"/>
      <c r="V75" s="452"/>
      <c r="W75" s="452"/>
      <c r="X75" s="452"/>
      <c r="Y75" s="452"/>
      <c r="Z75" s="452"/>
      <c r="AA75" s="452"/>
      <c r="AB75" s="452"/>
      <c r="AC75" s="452"/>
      <c r="AD75" s="452"/>
      <c r="AE75" s="452"/>
      <c r="AF75" s="452"/>
      <c r="AG75" s="452"/>
      <c r="AH75" s="452"/>
      <c r="AI75" s="452"/>
      <c r="AJ75" s="452"/>
      <c r="AK75" s="452"/>
      <c r="AL75" s="452"/>
      <c r="AM75" s="452"/>
      <c r="AN75" s="452"/>
      <c r="AO75" s="452"/>
      <c r="AP75" s="452"/>
      <c r="AQ75" s="452"/>
      <c r="AR75" s="452"/>
      <c r="AS75" s="452"/>
      <c r="AT75" s="452"/>
      <c r="AW75" s="442"/>
      <c r="AX75" s="442"/>
      <c r="AY75" s="442"/>
      <c r="AZ75" s="442"/>
      <c r="BA75" s="442"/>
      <c r="BB75" s="442"/>
      <c r="BC75" s="442"/>
      <c r="BD75" s="442"/>
      <c r="BE75" s="442"/>
      <c r="BF75" s="442"/>
      <c r="BG75" s="442"/>
      <c r="BH75" s="442"/>
      <c r="BI75" s="442"/>
      <c r="BJ75" s="442"/>
      <c r="BK75" s="442"/>
      <c r="BL75" s="442"/>
      <c r="BM75" s="442"/>
      <c r="BN75" s="442"/>
      <c r="BO75" s="442"/>
      <c r="BP75" s="442"/>
      <c r="BQ75" s="442"/>
      <c r="BR75" s="442"/>
      <c r="BS75" s="442"/>
      <c r="BT75" s="442"/>
      <c r="BU75" s="442"/>
      <c r="BV75" s="442"/>
      <c r="BW75" s="442"/>
      <c r="BX75" s="442"/>
      <c r="BY75" s="442"/>
      <c r="BZ75" s="442"/>
      <c r="CA75" s="442"/>
      <c r="CB75" s="442"/>
      <c r="CC75" s="442"/>
      <c r="CD75" s="442"/>
      <c r="CE75" s="442"/>
      <c r="CF75" s="442"/>
      <c r="CG75" s="442"/>
      <c r="CH75" s="442"/>
      <c r="CI75" s="442"/>
      <c r="CJ75" s="442"/>
      <c r="CK75" s="442"/>
      <c r="CL75" s="442"/>
      <c r="CM75" s="442"/>
      <c r="CN75" s="442"/>
      <c r="CO75" s="442"/>
    </row>
    <row r="76" spans="2:93" ht="16.649999999999999" customHeight="1" x14ac:dyDescent="0.35">
      <c r="B76" s="441" t="s">
        <v>195</v>
      </c>
      <c r="C76" s="441"/>
      <c r="D76" s="441"/>
      <c r="E76" s="441"/>
      <c r="G76" s="441" t="s">
        <v>196</v>
      </c>
      <c r="H76" s="441"/>
      <c r="I76" s="441"/>
      <c r="J76" s="441"/>
      <c r="K76" s="9"/>
      <c r="L76" s="441" t="s">
        <v>197</v>
      </c>
      <c r="M76" s="441"/>
      <c r="N76" s="441"/>
      <c r="O76" s="441"/>
      <c r="P76" s="441"/>
      <c r="R76" s="452"/>
      <c r="S76" s="452"/>
      <c r="T76" s="452"/>
      <c r="U76" s="452"/>
      <c r="V76" s="452"/>
      <c r="W76" s="452"/>
      <c r="X76" s="452"/>
      <c r="Y76" s="452"/>
      <c r="Z76" s="452"/>
      <c r="AA76" s="452"/>
      <c r="AB76" s="452"/>
      <c r="AC76" s="452"/>
      <c r="AD76" s="452"/>
      <c r="AE76" s="452"/>
      <c r="AF76" s="452"/>
      <c r="AG76" s="452"/>
      <c r="AH76" s="452"/>
      <c r="AI76" s="452"/>
      <c r="AJ76" s="452"/>
      <c r="AK76" s="452"/>
      <c r="AL76" s="452"/>
      <c r="AM76" s="452"/>
      <c r="AN76" s="452"/>
      <c r="AO76" s="452"/>
      <c r="AP76" s="452"/>
      <c r="AQ76" s="452"/>
      <c r="AR76" s="452"/>
      <c r="AS76" s="452"/>
      <c r="AT76" s="452"/>
      <c r="AW76" s="442"/>
      <c r="AX76" s="442"/>
      <c r="AY76" s="442"/>
      <c r="AZ76" s="442"/>
      <c r="BA76" s="442"/>
      <c r="BB76" s="442"/>
      <c r="BC76" s="442"/>
      <c r="BD76" s="442"/>
      <c r="BE76" s="442"/>
      <c r="BF76" s="442"/>
      <c r="BG76" s="442"/>
      <c r="BH76" s="442"/>
      <c r="BI76" s="442"/>
      <c r="BJ76" s="442"/>
      <c r="BK76" s="442"/>
      <c r="BL76" s="442"/>
      <c r="BM76" s="442"/>
      <c r="BN76" s="442"/>
      <c r="BO76" s="442"/>
      <c r="BP76" s="442"/>
      <c r="BQ76" s="442"/>
      <c r="BR76" s="442"/>
      <c r="BS76" s="442"/>
      <c r="BT76" s="442"/>
      <c r="BU76" s="442"/>
      <c r="BV76" s="442"/>
      <c r="BW76" s="442"/>
      <c r="BX76" s="442"/>
      <c r="BY76" s="442"/>
      <c r="BZ76" s="442"/>
      <c r="CA76" s="442"/>
      <c r="CB76" s="442"/>
      <c r="CC76" s="442"/>
      <c r="CD76" s="442"/>
      <c r="CE76" s="442"/>
      <c r="CF76" s="442"/>
      <c r="CG76" s="442"/>
      <c r="CH76" s="442"/>
      <c r="CI76" s="442"/>
      <c r="CJ76" s="442"/>
      <c r="CK76" s="442"/>
      <c r="CL76" s="442"/>
      <c r="CM76" s="442"/>
      <c r="CN76" s="442"/>
      <c r="CO76" s="442"/>
    </row>
    <row r="77" spans="2:93" ht="16.649999999999999" customHeight="1" x14ac:dyDescent="0.25">
      <c r="B77" s="447" t="str">
        <f>IFERROR(VLOOKUP(B75,法术大全!A:Y,6,FALSE),"")</f>
        <v/>
      </c>
      <c r="C77" s="447"/>
      <c r="D77" s="447"/>
      <c r="E77" s="447"/>
      <c r="G77" s="447" t="str">
        <f>IFERROR(VLOOKUP(B75,法术大全!A:Y,3,FALSE),"")</f>
        <v/>
      </c>
      <c r="H77" s="447"/>
      <c r="I77" s="447"/>
      <c r="J77" s="447"/>
      <c r="K77" s="9"/>
      <c r="L77" s="448" t="str">
        <f>IFERROR(VLOOKUP(B75,法术大全!A:Y,12,FALSE),"")</f>
        <v/>
      </c>
      <c r="M77" s="449"/>
      <c r="N77" s="449"/>
      <c r="O77" s="449"/>
      <c r="P77" s="450"/>
      <c r="R77" s="452"/>
      <c r="S77" s="452"/>
      <c r="T77" s="452"/>
      <c r="U77" s="452"/>
      <c r="V77" s="452"/>
      <c r="W77" s="452"/>
      <c r="X77" s="452"/>
      <c r="Y77" s="452"/>
      <c r="Z77" s="452"/>
      <c r="AA77" s="452"/>
      <c r="AB77" s="452"/>
      <c r="AC77" s="452"/>
      <c r="AD77" s="452"/>
      <c r="AE77" s="452"/>
      <c r="AF77" s="452"/>
      <c r="AG77" s="452"/>
      <c r="AH77" s="452"/>
      <c r="AI77" s="452"/>
      <c r="AJ77" s="452"/>
      <c r="AK77" s="452"/>
      <c r="AL77" s="452"/>
      <c r="AM77" s="452"/>
      <c r="AN77" s="452"/>
      <c r="AO77" s="452"/>
      <c r="AP77" s="452"/>
      <c r="AQ77" s="452"/>
      <c r="AR77" s="452"/>
      <c r="AS77" s="452"/>
      <c r="AT77" s="452"/>
      <c r="AW77" s="442"/>
      <c r="AX77" s="442"/>
      <c r="AY77" s="442"/>
      <c r="AZ77" s="442"/>
      <c r="BA77" s="442"/>
      <c r="BB77" s="442"/>
      <c r="BC77" s="442"/>
      <c r="BD77" s="442"/>
      <c r="BE77" s="442"/>
      <c r="BF77" s="442"/>
      <c r="BG77" s="442"/>
      <c r="BH77" s="442"/>
      <c r="BI77" s="442"/>
      <c r="BJ77" s="442"/>
      <c r="BK77" s="442"/>
      <c r="BL77" s="442"/>
      <c r="BM77" s="442"/>
      <c r="BN77" s="442"/>
      <c r="BO77" s="442"/>
      <c r="BP77" s="442"/>
      <c r="BQ77" s="442"/>
      <c r="BR77" s="442"/>
      <c r="BS77" s="442"/>
      <c r="BT77" s="442"/>
      <c r="BU77" s="442"/>
      <c r="BV77" s="442"/>
      <c r="BW77" s="442"/>
      <c r="BX77" s="442"/>
      <c r="BY77" s="442"/>
      <c r="BZ77" s="442"/>
      <c r="CA77" s="442"/>
      <c r="CB77" s="442"/>
      <c r="CC77" s="442"/>
      <c r="CD77" s="442"/>
      <c r="CE77" s="442"/>
      <c r="CF77" s="442"/>
      <c r="CG77" s="442"/>
      <c r="CH77" s="442"/>
      <c r="CI77" s="442"/>
      <c r="CJ77" s="442"/>
      <c r="CK77" s="442"/>
      <c r="CL77" s="442"/>
      <c r="CM77" s="442"/>
      <c r="CN77" s="442"/>
      <c r="CO77" s="442"/>
    </row>
    <row r="78" spans="2:93" ht="16.649999999999999" customHeight="1" x14ac:dyDescent="0.35">
      <c r="B78" s="441" t="s">
        <v>198</v>
      </c>
      <c r="C78" s="441"/>
      <c r="D78" s="441"/>
      <c r="E78" s="441"/>
      <c r="F78" s="441"/>
      <c r="G78" s="455" t="str">
        <f>IF(B75="","",CONCATENATE(IF(VLOOKUP(B75,法术大全!A:Y,8,0)="V","语言（V）",""),IF(VLOOKUP(B75,法术大全!A:Y,9,0)="S","姿势（S）",""),IF(VLOOKUP(B75,法术大全!A:Y,10,0)="M","材料(M)","")))</f>
        <v/>
      </c>
      <c r="H78" s="455"/>
      <c r="I78" s="455"/>
      <c r="J78" s="455"/>
      <c r="K78" s="455"/>
      <c r="L78" s="455"/>
      <c r="M78" s="455"/>
      <c r="N78" s="455"/>
      <c r="O78" s="455"/>
      <c r="P78" s="455"/>
      <c r="R78" s="452"/>
      <c r="S78" s="452"/>
      <c r="T78" s="452"/>
      <c r="U78" s="452"/>
      <c r="V78" s="452"/>
      <c r="W78" s="452"/>
      <c r="X78" s="452"/>
      <c r="Y78" s="452"/>
      <c r="Z78" s="452"/>
      <c r="AA78" s="452"/>
      <c r="AB78" s="452"/>
      <c r="AC78" s="452"/>
      <c r="AD78" s="452"/>
      <c r="AE78" s="452"/>
      <c r="AF78" s="452"/>
      <c r="AG78" s="452"/>
      <c r="AH78" s="452"/>
      <c r="AI78" s="452"/>
      <c r="AJ78" s="452"/>
      <c r="AK78" s="452"/>
      <c r="AL78" s="452"/>
      <c r="AM78" s="452"/>
      <c r="AN78" s="452"/>
      <c r="AO78" s="452"/>
      <c r="AP78" s="452"/>
      <c r="AQ78" s="452"/>
      <c r="AR78" s="452"/>
      <c r="AS78" s="452"/>
      <c r="AT78" s="452"/>
      <c r="AW78" s="442"/>
      <c r="AX78" s="442"/>
      <c r="AY78" s="442"/>
      <c r="AZ78" s="442"/>
      <c r="BA78" s="442"/>
      <c r="BB78" s="442"/>
      <c r="BC78" s="442"/>
      <c r="BD78" s="442"/>
      <c r="BE78" s="442"/>
      <c r="BF78" s="442"/>
      <c r="BG78" s="442"/>
      <c r="BH78" s="442"/>
      <c r="BI78" s="442"/>
      <c r="BJ78" s="442"/>
      <c r="BK78" s="442"/>
      <c r="BL78" s="442"/>
      <c r="BM78" s="442"/>
      <c r="BN78" s="442"/>
      <c r="BO78" s="442"/>
      <c r="BP78" s="442"/>
      <c r="BQ78" s="442"/>
      <c r="BR78" s="442"/>
      <c r="BS78" s="442"/>
      <c r="BT78" s="442"/>
      <c r="BU78" s="442"/>
      <c r="BV78" s="442"/>
      <c r="BW78" s="442"/>
      <c r="BX78" s="442"/>
      <c r="BY78" s="442"/>
      <c r="BZ78" s="442"/>
      <c r="CA78" s="442"/>
      <c r="CB78" s="442"/>
      <c r="CC78" s="442"/>
      <c r="CD78" s="442"/>
      <c r="CE78" s="442"/>
      <c r="CF78" s="442"/>
      <c r="CG78" s="442"/>
      <c r="CH78" s="442"/>
      <c r="CI78" s="442"/>
      <c r="CJ78" s="442"/>
      <c r="CK78" s="442"/>
      <c r="CL78" s="442"/>
      <c r="CM78" s="442"/>
      <c r="CN78" s="442"/>
      <c r="CO78" s="442"/>
    </row>
    <row r="79" spans="2:93" ht="16.649999999999999" customHeight="1" x14ac:dyDescent="0.25">
      <c r="B79" s="451" t="str">
        <f>IFERROR(IF(VLOOKUP(B75,法术大全!A:Y,10,FALSE)="M",VLOOKUP(B75,法术大全!A:Y,11,FALSE),""),"")</f>
        <v/>
      </c>
      <c r="C79" s="451"/>
      <c r="D79" s="451"/>
      <c r="E79" s="451"/>
      <c r="F79" s="451"/>
      <c r="G79" s="451"/>
      <c r="H79" s="451"/>
      <c r="I79" s="451"/>
      <c r="J79" s="451"/>
      <c r="K79" s="451"/>
      <c r="L79" s="451"/>
      <c r="M79" s="451"/>
      <c r="N79" s="451"/>
      <c r="O79" s="451"/>
      <c r="P79" s="451"/>
      <c r="R79" s="452"/>
      <c r="S79" s="452"/>
      <c r="T79" s="452"/>
      <c r="U79" s="452"/>
      <c r="V79" s="452"/>
      <c r="W79" s="452"/>
      <c r="X79" s="452"/>
      <c r="Y79" s="452"/>
      <c r="Z79" s="452"/>
      <c r="AA79" s="452"/>
      <c r="AB79" s="452"/>
      <c r="AC79" s="452"/>
      <c r="AD79" s="452"/>
      <c r="AE79" s="452"/>
      <c r="AF79" s="452"/>
      <c r="AG79" s="452"/>
      <c r="AH79" s="452"/>
      <c r="AI79" s="452"/>
      <c r="AJ79" s="452"/>
      <c r="AK79" s="452"/>
      <c r="AL79" s="452"/>
      <c r="AM79" s="452"/>
      <c r="AN79" s="452"/>
      <c r="AO79" s="452"/>
      <c r="AP79" s="452"/>
      <c r="AQ79" s="452"/>
      <c r="AR79" s="452"/>
      <c r="AS79" s="452"/>
      <c r="AT79" s="452"/>
      <c r="AW79" s="442"/>
      <c r="AX79" s="442"/>
      <c r="AY79" s="442"/>
      <c r="AZ79" s="442"/>
      <c r="BA79" s="442"/>
      <c r="BB79" s="442"/>
      <c r="BC79" s="442"/>
      <c r="BD79" s="442"/>
      <c r="BE79" s="442"/>
      <c r="BF79" s="442"/>
      <c r="BG79" s="442"/>
      <c r="BH79" s="442"/>
      <c r="BI79" s="442"/>
      <c r="BJ79" s="442"/>
      <c r="BK79" s="442"/>
      <c r="BL79" s="442"/>
      <c r="BM79" s="442"/>
      <c r="BN79" s="442"/>
      <c r="BO79" s="442"/>
      <c r="BP79" s="442"/>
      <c r="BQ79" s="442"/>
      <c r="BR79" s="442"/>
      <c r="BS79" s="442"/>
      <c r="BT79" s="442"/>
      <c r="BU79" s="442"/>
      <c r="BV79" s="442"/>
      <c r="BW79" s="442"/>
      <c r="BX79" s="442"/>
      <c r="BY79" s="442"/>
      <c r="BZ79" s="442"/>
      <c r="CA79" s="442"/>
      <c r="CB79" s="442"/>
      <c r="CC79" s="442"/>
      <c r="CD79" s="442"/>
      <c r="CE79" s="442"/>
      <c r="CF79" s="442"/>
      <c r="CG79" s="442"/>
      <c r="CH79" s="442"/>
      <c r="CI79" s="442"/>
      <c r="CJ79" s="442"/>
      <c r="CK79" s="442"/>
      <c r="CL79" s="442"/>
      <c r="CM79" s="442"/>
      <c r="CN79" s="442"/>
      <c r="CO79" s="442"/>
    </row>
    <row r="80" spans="2:93" ht="16.649999999999999" customHeight="1" x14ac:dyDescent="0.25">
      <c r="B80" s="451"/>
      <c r="C80" s="451"/>
      <c r="D80" s="451"/>
      <c r="E80" s="451"/>
      <c r="F80" s="451"/>
      <c r="G80" s="451"/>
      <c r="H80" s="451"/>
      <c r="I80" s="451"/>
      <c r="J80" s="451"/>
      <c r="K80" s="451"/>
      <c r="L80" s="451"/>
      <c r="M80" s="451"/>
      <c r="N80" s="451"/>
      <c r="O80" s="451"/>
      <c r="P80" s="451"/>
      <c r="R80" s="452"/>
      <c r="S80" s="452"/>
      <c r="T80" s="452"/>
      <c r="U80" s="452"/>
      <c r="V80" s="452"/>
      <c r="W80" s="452"/>
      <c r="X80" s="452"/>
      <c r="Y80" s="452"/>
      <c r="Z80" s="452"/>
      <c r="AA80" s="452"/>
      <c r="AB80" s="452"/>
      <c r="AC80" s="452"/>
      <c r="AD80" s="452"/>
      <c r="AE80" s="452"/>
      <c r="AF80" s="452"/>
      <c r="AG80" s="452"/>
      <c r="AH80" s="452"/>
      <c r="AI80" s="452"/>
      <c r="AJ80" s="452"/>
      <c r="AK80" s="452"/>
      <c r="AL80" s="452"/>
      <c r="AM80" s="452"/>
      <c r="AN80" s="452"/>
      <c r="AO80" s="452"/>
      <c r="AP80" s="452"/>
      <c r="AQ80" s="452"/>
      <c r="AR80" s="452"/>
      <c r="AS80" s="452"/>
      <c r="AT80" s="452"/>
      <c r="AW80" s="442"/>
      <c r="AX80" s="442"/>
      <c r="AY80" s="442"/>
      <c r="AZ80" s="442"/>
      <c r="BA80" s="442"/>
      <c r="BB80" s="442"/>
      <c r="BC80" s="442"/>
      <c r="BD80" s="442"/>
      <c r="BE80" s="442"/>
      <c r="BF80" s="442"/>
      <c r="BG80" s="442"/>
      <c r="BH80" s="442"/>
      <c r="BI80" s="442"/>
      <c r="BJ80" s="442"/>
      <c r="BK80" s="442"/>
      <c r="BL80" s="442"/>
      <c r="BM80" s="442"/>
      <c r="BN80" s="442"/>
      <c r="BO80" s="442"/>
      <c r="BP80" s="442"/>
      <c r="BQ80" s="442"/>
      <c r="BR80" s="442"/>
      <c r="BS80" s="442"/>
      <c r="BT80" s="442"/>
      <c r="BU80" s="442"/>
      <c r="BV80" s="442"/>
      <c r="BW80" s="442"/>
      <c r="BX80" s="442"/>
      <c r="BY80" s="442"/>
      <c r="BZ80" s="442"/>
      <c r="CA80" s="442"/>
      <c r="CB80" s="442"/>
      <c r="CC80" s="442"/>
      <c r="CD80" s="442"/>
      <c r="CE80" s="442"/>
      <c r="CF80" s="442"/>
      <c r="CG80" s="442"/>
      <c r="CH80" s="442"/>
      <c r="CI80" s="442"/>
      <c r="CJ80" s="442"/>
      <c r="CK80" s="442"/>
      <c r="CL80" s="442"/>
      <c r="CM80" s="442"/>
      <c r="CN80" s="442"/>
      <c r="CO80" s="442"/>
    </row>
    <row r="81" spans="2:93" ht="16.649999999999999" customHeight="1" x14ac:dyDescent="0.35">
      <c r="B81" s="456" t="s">
        <v>199</v>
      </c>
      <c r="C81" s="456"/>
      <c r="D81" s="456"/>
      <c r="E81" s="456"/>
      <c r="F81" s="456"/>
      <c r="G81" s="456"/>
      <c r="H81" s="456"/>
      <c r="I81" s="456"/>
      <c r="J81" s="456"/>
      <c r="K81" s="456"/>
      <c r="L81" s="456"/>
      <c r="M81" s="456"/>
      <c r="N81" s="456"/>
      <c r="O81" s="456"/>
      <c r="P81" s="456"/>
      <c r="R81" s="452"/>
      <c r="S81" s="452"/>
      <c r="T81" s="452"/>
      <c r="U81" s="452"/>
      <c r="V81" s="452"/>
      <c r="W81" s="452"/>
      <c r="X81" s="452"/>
      <c r="Y81" s="452"/>
      <c r="Z81" s="452"/>
      <c r="AA81" s="452"/>
      <c r="AB81" s="452"/>
      <c r="AC81" s="452"/>
      <c r="AD81" s="452"/>
      <c r="AE81" s="452"/>
      <c r="AF81" s="452"/>
      <c r="AG81" s="452"/>
      <c r="AH81" s="452"/>
      <c r="AI81" s="452"/>
      <c r="AJ81" s="452"/>
      <c r="AK81" s="452"/>
      <c r="AL81" s="452"/>
      <c r="AM81" s="452"/>
      <c r="AN81" s="452"/>
      <c r="AO81" s="452"/>
      <c r="AP81" s="452"/>
      <c r="AQ81" s="452"/>
      <c r="AR81" s="452"/>
      <c r="AS81" s="452"/>
      <c r="AT81" s="452"/>
      <c r="AW81" s="442"/>
      <c r="AX81" s="442"/>
      <c r="AY81" s="442"/>
      <c r="AZ81" s="442"/>
      <c r="BA81" s="442"/>
      <c r="BB81" s="442"/>
      <c r="BC81" s="442"/>
      <c r="BD81" s="442"/>
      <c r="BE81" s="442"/>
      <c r="BF81" s="442"/>
      <c r="BG81" s="442"/>
      <c r="BH81" s="442"/>
      <c r="BI81" s="442"/>
      <c r="BJ81" s="442"/>
      <c r="BK81" s="442"/>
      <c r="BL81" s="442"/>
      <c r="BM81" s="442"/>
      <c r="BN81" s="442"/>
      <c r="BO81" s="442"/>
      <c r="BP81" s="442"/>
      <c r="BQ81" s="442"/>
      <c r="BR81" s="442"/>
      <c r="BS81" s="442"/>
      <c r="BT81" s="442"/>
      <c r="BU81" s="442"/>
      <c r="BV81" s="442"/>
      <c r="BW81" s="442"/>
      <c r="BX81" s="442"/>
      <c r="BY81" s="442"/>
      <c r="BZ81" s="442"/>
      <c r="CA81" s="442"/>
      <c r="CB81" s="442"/>
      <c r="CC81" s="442"/>
      <c r="CD81" s="442"/>
      <c r="CE81" s="442"/>
      <c r="CF81" s="442"/>
      <c r="CG81" s="442"/>
      <c r="CH81" s="442"/>
      <c r="CI81" s="442"/>
      <c r="CJ81" s="442"/>
      <c r="CK81" s="442"/>
      <c r="CL81" s="442"/>
      <c r="CM81" s="442"/>
      <c r="CN81" s="442"/>
      <c r="CO81" s="442"/>
    </row>
    <row r="82" spans="2:93" ht="16.649999999999999" customHeight="1" x14ac:dyDescent="0.25">
      <c r="B82" s="451" t="str">
        <f>IF(B75="","",CONCATENATE(IF(VLOOKUP(B75,法术大全!A:Y,15,0)="√","吟游诗人 ",""),IF(VLOOKUP(B75,法术大全!A:Y,16,0)="√","牧师 ",""),IF(VLOOKUP(B75,法术大全!A:Y,17,0)="√","德鲁伊 ",""),IF(VLOOKUP(B75,法术大全!A:Y,18,0)="√","圣武士 ",""),IF(VLOOKUP(B75,法术大全!A:Y,19,0)="√","游侠 ",""),IF(VLOOKUP(B75,法术大全!A:Y,20,0)="√","术士 ",""),IF(VLOOKUP(B75,法术大全!A:Y,21,0)="√","魔契师 ",""),IF(VLOOKUP(B75,法术大全!A:Y,22,0)="√","法师 ",""),IF(VLOOKUP(B75,法术大全!A:Y,23,0)="√","奇械师 ","")))</f>
        <v/>
      </c>
      <c r="C82" s="451"/>
      <c r="D82" s="451"/>
      <c r="E82" s="451"/>
      <c r="F82" s="451"/>
      <c r="G82" s="451"/>
      <c r="H82" s="451"/>
      <c r="I82" s="451"/>
      <c r="J82" s="451"/>
      <c r="K82" s="451"/>
      <c r="L82" s="451"/>
      <c r="M82" s="451"/>
      <c r="N82" s="451"/>
      <c r="O82" s="451"/>
      <c r="P82" s="451"/>
      <c r="R82" s="452"/>
      <c r="S82" s="452"/>
      <c r="T82" s="452"/>
      <c r="U82" s="452"/>
      <c r="V82" s="452"/>
      <c r="W82" s="452"/>
      <c r="X82" s="452"/>
      <c r="Y82" s="452"/>
      <c r="Z82" s="452"/>
      <c r="AA82" s="452"/>
      <c r="AB82" s="452"/>
      <c r="AC82" s="452"/>
      <c r="AD82" s="452"/>
      <c r="AE82" s="452"/>
      <c r="AF82" s="452"/>
      <c r="AG82" s="452"/>
      <c r="AH82" s="452"/>
      <c r="AI82" s="452"/>
      <c r="AJ82" s="452"/>
      <c r="AK82" s="452"/>
      <c r="AL82" s="452"/>
      <c r="AM82" s="452"/>
      <c r="AN82" s="452"/>
      <c r="AO82" s="452"/>
      <c r="AP82" s="452"/>
      <c r="AQ82" s="452"/>
      <c r="AR82" s="452"/>
      <c r="AS82" s="452"/>
      <c r="AT82" s="452"/>
      <c r="AW82" s="442"/>
      <c r="AX82" s="442"/>
      <c r="AY82" s="442"/>
      <c r="AZ82" s="442"/>
      <c r="BA82" s="442"/>
      <c r="BB82" s="442"/>
      <c r="BC82" s="442"/>
      <c r="BD82" s="442"/>
      <c r="BE82" s="442"/>
      <c r="BF82" s="442"/>
      <c r="BG82" s="442"/>
      <c r="BH82" s="442"/>
      <c r="BI82" s="442"/>
      <c r="BJ82" s="442"/>
      <c r="BK82" s="442"/>
      <c r="BL82" s="442"/>
      <c r="BM82" s="442"/>
      <c r="BN82" s="442"/>
      <c r="BO82" s="442"/>
      <c r="BP82" s="442"/>
      <c r="BQ82" s="442"/>
      <c r="BR82" s="442"/>
      <c r="BS82" s="442"/>
      <c r="BT82" s="442"/>
      <c r="BU82" s="442"/>
      <c r="BV82" s="442"/>
      <c r="BW82" s="442"/>
      <c r="BX82" s="442"/>
      <c r="BY82" s="442"/>
      <c r="BZ82" s="442"/>
      <c r="CA82" s="442"/>
      <c r="CB82" s="442"/>
      <c r="CC82" s="442"/>
      <c r="CD82" s="442"/>
      <c r="CE82" s="442"/>
      <c r="CF82" s="442"/>
      <c r="CG82" s="442"/>
      <c r="CH82" s="442"/>
      <c r="CI82" s="442"/>
      <c r="CJ82" s="442"/>
      <c r="CK82" s="442"/>
      <c r="CL82" s="442"/>
      <c r="CM82" s="442"/>
      <c r="CN82" s="442"/>
      <c r="CO82" s="442"/>
    </row>
    <row r="83" spans="2:93" ht="16.649999999999999" customHeight="1" x14ac:dyDescent="0.25">
      <c r="B83" s="451"/>
      <c r="C83" s="451"/>
      <c r="D83" s="451"/>
      <c r="E83" s="451"/>
      <c r="F83" s="451"/>
      <c r="G83" s="451"/>
      <c r="H83" s="451"/>
      <c r="I83" s="451"/>
      <c r="J83" s="451"/>
      <c r="K83" s="451"/>
      <c r="L83" s="451"/>
      <c r="M83" s="451"/>
      <c r="N83" s="451"/>
      <c r="O83" s="451"/>
      <c r="P83" s="451"/>
      <c r="R83" s="452"/>
      <c r="S83" s="452"/>
      <c r="T83" s="452"/>
      <c r="U83" s="452"/>
      <c r="V83" s="452"/>
      <c r="W83" s="452"/>
      <c r="X83" s="452"/>
      <c r="Y83" s="452"/>
      <c r="Z83" s="452"/>
      <c r="AA83" s="452"/>
      <c r="AB83" s="452"/>
      <c r="AC83" s="452"/>
      <c r="AD83" s="452"/>
      <c r="AE83" s="452"/>
      <c r="AF83" s="452"/>
      <c r="AG83" s="452"/>
      <c r="AH83" s="452"/>
      <c r="AI83" s="452"/>
      <c r="AJ83" s="452"/>
      <c r="AK83" s="452"/>
      <c r="AL83" s="452"/>
      <c r="AM83" s="452"/>
      <c r="AN83" s="452"/>
      <c r="AO83" s="452"/>
      <c r="AP83" s="452"/>
      <c r="AQ83" s="452"/>
      <c r="AR83" s="452"/>
      <c r="AS83" s="452"/>
      <c r="AT83" s="452"/>
      <c r="AW83" s="442"/>
      <c r="AX83" s="442"/>
      <c r="AY83" s="442"/>
      <c r="AZ83" s="442"/>
      <c r="BA83" s="442"/>
      <c r="BB83" s="442"/>
      <c r="BC83" s="442"/>
      <c r="BD83" s="442"/>
      <c r="BE83" s="442"/>
      <c r="BF83" s="442"/>
      <c r="BG83" s="442"/>
      <c r="BH83" s="442"/>
      <c r="BI83" s="442"/>
      <c r="BJ83" s="442"/>
      <c r="BK83" s="442"/>
      <c r="BL83" s="442"/>
      <c r="BM83" s="442"/>
      <c r="BN83" s="442"/>
      <c r="BO83" s="442"/>
      <c r="BP83" s="442"/>
      <c r="BQ83" s="442"/>
      <c r="BR83" s="442"/>
      <c r="BS83" s="442"/>
      <c r="BT83" s="442"/>
      <c r="BU83" s="442"/>
      <c r="BV83" s="442"/>
      <c r="BW83" s="442"/>
      <c r="BX83" s="442"/>
      <c r="BY83" s="442"/>
      <c r="BZ83" s="442"/>
      <c r="CA83" s="442"/>
      <c r="CB83" s="442"/>
      <c r="CC83" s="442"/>
      <c r="CD83" s="442"/>
      <c r="CE83" s="442"/>
      <c r="CF83" s="442"/>
      <c r="CG83" s="442"/>
      <c r="CH83" s="442"/>
      <c r="CI83" s="442"/>
      <c r="CJ83" s="442"/>
      <c r="CK83" s="442"/>
      <c r="CL83" s="442"/>
      <c r="CM83" s="442"/>
      <c r="CN83" s="442"/>
      <c r="CO83" s="442"/>
    </row>
    <row r="94" spans="2:93" ht="16.649999999999999" customHeight="1" x14ac:dyDescent="0.25">
      <c r="BN94" s="117"/>
      <c r="CI94" s="117"/>
      <c r="CJ94" s="117"/>
    </row>
    <row r="95" spans="2:93" ht="16.649999999999999" customHeight="1" x14ac:dyDescent="0.25">
      <c r="BN95" s="117"/>
      <c r="CI95" s="117"/>
      <c r="CJ95" s="117"/>
    </row>
    <row r="96" spans="2:93" ht="16.649999999999999" customHeight="1" x14ac:dyDescent="0.25">
      <c r="BN96" s="117"/>
      <c r="CI96" s="117"/>
      <c r="CJ96" s="117"/>
    </row>
    <row r="97" spans="66:88" ht="16.649999999999999" customHeight="1" x14ac:dyDescent="0.25">
      <c r="BN97" s="117"/>
      <c r="CI97" s="117"/>
      <c r="CJ97" s="117"/>
    </row>
    <row r="98" spans="66:88" ht="16.649999999999999" customHeight="1" x14ac:dyDescent="0.25">
      <c r="BN98" s="117"/>
      <c r="CI98" s="117"/>
      <c r="CJ98" s="117"/>
    </row>
    <row r="99" spans="66:88" ht="16.649999999999999" customHeight="1" x14ac:dyDescent="0.25">
      <c r="BN99" s="117"/>
      <c r="CI99" s="117"/>
      <c r="CJ99" s="117"/>
    </row>
    <row r="100" spans="66:88" ht="16.649999999999999" customHeight="1" x14ac:dyDescent="0.25">
      <c r="BN100" s="117"/>
      <c r="CI100" s="117"/>
      <c r="CJ100" s="117"/>
    </row>
    <row r="101" spans="66:88" ht="16.649999999999999" customHeight="1" x14ac:dyDescent="0.25">
      <c r="BN101" s="117"/>
      <c r="CI101" s="117"/>
      <c r="CJ101" s="117"/>
    </row>
    <row r="102" spans="66:88" ht="16.649999999999999" customHeight="1" x14ac:dyDescent="0.25">
      <c r="BN102" s="117"/>
    </row>
    <row r="103" spans="66:88" ht="16.649999999999999" customHeight="1" x14ac:dyDescent="0.25">
      <c r="BN103" s="117"/>
    </row>
    <row r="104" spans="66:88" ht="16.649999999999999" customHeight="1" x14ac:dyDescent="0.25">
      <c r="BN104" s="117"/>
    </row>
    <row r="105" spans="66:88" ht="16.649999999999999" customHeight="1" x14ac:dyDescent="0.25">
      <c r="BN105" s="117"/>
    </row>
    <row r="106" spans="66:88" ht="16.649999999999999" customHeight="1" x14ac:dyDescent="0.25">
      <c r="BN106" s="117"/>
    </row>
    <row r="107" spans="66:88" ht="16.649999999999999" customHeight="1" x14ac:dyDescent="0.25">
      <c r="BN107" s="117"/>
    </row>
    <row r="108" spans="66:88" ht="16.649999999999999" customHeight="1" x14ac:dyDescent="0.25">
      <c r="BN108" s="117"/>
    </row>
    <row r="109" spans="66:88" ht="16.649999999999999" customHeight="1" x14ac:dyDescent="0.25">
      <c r="BN109" s="117"/>
    </row>
    <row r="110" spans="66:88" ht="16.649999999999999" customHeight="1" x14ac:dyDescent="0.25">
      <c r="BN110" s="117"/>
    </row>
    <row r="111" spans="66:88" ht="16.649999999999999" customHeight="1" x14ac:dyDescent="0.25">
      <c r="BN111" s="117"/>
    </row>
    <row r="112" spans="66:88" ht="16.649999999999999" customHeight="1" x14ac:dyDescent="0.25">
      <c r="BN112" s="117"/>
    </row>
    <row r="113" spans="66:71" ht="16.649999999999999" customHeight="1" x14ac:dyDescent="0.25">
      <c r="BN113" s="117"/>
    </row>
    <row r="114" spans="66:71" ht="16.649999999999999" customHeight="1" x14ac:dyDescent="0.25">
      <c r="BN114" s="117"/>
    </row>
    <row r="115" spans="66:71" ht="16.649999999999999" customHeight="1" x14ac:dyDescent="0.25">
      <c r="BN115" s="117"/>
    </row>
    <row r="116" spans="66:71" ht="16.649999999999999" customHeight="1" x14ac:dyDescent="0.25">
      <c r="BN116" s="117"/>
    </row>
    <row r="117" spans="66:71" ht="16.649999999999999" customHeight="1" x14ac:dyDescent="0.25">
      <c r="BN117" s="117"/>
    </row>
    <row r="124" spans="66:71" ht="16.649999999999999" customHeight="1" x14ac:dyDescent="0.25">
      <c r="BS124" s="272"/>
    </row>
    <row r="125" spans="66:71" ht="16.649999999999999" customHeight="1" x14ac:dyDescent="0.25">
      <c r="BS125" s="272"/>
    </row>
  </sheetData>
  <sheetProtection sheet="1" selectLockedCells="1"/>
  <mergeCells count="792">
    <mergeCell ref="BZ3:CO3"/>
    <mergeCell ref="BJ4:BK4"/>
    <mergeCell ref="B71:G71"/>
    <mergeCell ref="H71:I71"/>
    <mergeCell ref="BT51:CO51"/>
    <mergeCell ref="BT52:CO67"/>
    <mergeCell ref="AJ32:AM32"/>
    <mergeCell ref="AG32:AI32"/>
    <mergeCell ref="AE32:AF32"/>
    <mergeCell ref="AC32:AD32"/>
    <mergeCell ref="U32:AB32"/>
    <mergeCell ref="AC37:AD37"/>
    <mergeCell ref="AJ33:AK33"/>
    <mergeCell ref="AJ34:AK34"/>
    <mergeCell ref="AJ35:AK35"/>
    <mergeCell ref="AJ36:AK36"/>
    <mergeCell ref="AJ37:AK37"/>
    <mergeCell ref="AH33:AI33"/>
    <mergeCell ref="AZ3:BA3"/>
    <mergeCell ref="BB3:BC3"/>
    <mergeCell ref="BD3:BE3"/>
    <mergeCell ref="BF3:BG3"/>
    <mergeCell ref="BH3:BI3"/>
    <mergeCell ref="BC32:BR32"/>
    <mergeCell ref="A1:AU1"/>
    <mergeCell ref="AW1:BK1"/>
    <mergeCell ref="BJ3:BK3"/>
    <mergeCell ref="BT32:BY32"/>
    <mergeCell ref="BL3:BM3"/>
    <mergeCell ref="BN3:BO3"/>
    <mergeCell ref="BP3:BQ3"/>
    <mergeCell ref="BT3:BY3"/>
    <mergeCell ref="BL1:BQ1"/>
    <mergeCell ref="BT1:CO1"/>
    <mergeCell ref="AX2:AY2"/>
    <mergeCell ref="AZ2:BA2"/>
    <mergeCell ref="BB2:BC2"/>
    <mergeCell ref="BD2:BE2"/>
    <mergeCell ref="BF2:BG2"/>
    <mergeCell ref="BH2:BI2"/>
    <mergeCell ref="BJ2:BK2"/>
    <mergeCell ref="BL2:BM2"/>
    <mergeCell ref="BN2:BO2"/>
    <mergeCell ref="BP2:BQ2"/>
    <mergeCell ref="BT2:BY2"/>
    <mergeCell ref="BZ2:CO2"/>
    <mergeCell ref="BF5:BG5"/>
    <mergeCell ref="BH5:BI5"/>
    <mergeCell ref="BL4:BM4"/>
    <mergeCell ref="BN4:BO4"/>
    <mergeCell ref="BP4:BQ4"/>
    <mergeCell ref="BT4:BY4"/>
    <mergeCell ref="BZ4:CO4"/>
    <mergeCell ref="BT6:BY6"/>
    <mergeCell ref="BZ6:CO6"/>
    <mergeCell ref="BB5:BC5"/>
    <mergeCell ref="BD5:BE5"/>
    <mergeCell ref="BB6:BD6"/>
    <mergeCell ref="BF6:BH6"/>
    <mergeCell ref="AX14:BB14"/>
    <mergeCell ref="BC14:BR14"/>
    <mergeCell ref="BT14:BY14"/>
    <mergeCell ref="BZ14:CO14"/>
    <mergeCell ref="AX15:BB15"/>
    <mergeCell ref="BC15:BR15"/>
    <mergeCell ref="BT15:BY15"/>
    <mergeCell ref="BZ15:CO15"/>
    <mergeCell ref="AX12:BB12"/>
    <mergeCell ref="BC12:BR12"/>
    <mergeCell ref="BT12:BY12"/>
    <mergeCell ref="BZ12:CO12"/>
    <mergeCell ref="AX13:BB13"/>
    <mergeCell ref="BC13:BR13"/>
    <mergeCell ref="BT13:BY13"/>
    <mergeCell ref="BZ13:CO13"/>
    <mergeCell ref="AX17:BB17"/>
    <mergeCell ref="BZ32:CO32"/>
    <mergeCell ref="B3:D3"/>
    <mergeCell ref="BJ5:BK5"/>
    <mergeCell ref="BL5:BM5"/>
    <mergeCell ref="BN5:BO5"/>
    <mergeCell ref="BP5:BQ5"/>
    <mergeCell ref="BT5:BY5"/>
    <mergeCell ref="BZ5:CO5"/>
    <mergeCell ref="B4:D4"/>
    <mergeCell ref="E4:N4"/>
    <mergeCell ref="W4:X4"/>
    <mergeCell ref="AX4:AY4"/>
    <mergeCell ref="AZ4:BA4"/>
    <mergeCell ref="BB4:BC4"/>
    <mergeCell ref="BD4:BE4"/>
    <mergeCell ref="BF4:BG4"/>
    <mergeCell ref="BH4:BI4"/>
    <mergeCell ref="E3:N3"/>
    <mergeCell ref="W3:X3"/>
    <mergeCell ref="AX3:AY3"/>
    <mergeCell ref="E5:H5"/>
    <mergeCell ref="I5:N5"/>
    <mergeCell ref="O5:P5"/>
    <mergeCell ref="AX5:AY5"/>
    <mergeCell ref="AZ5:BA5"/>
    <mergeCell ref="B6:D6"/>
    <mergeCell ref="E6:H6"/>
    <mergeCell ref="I6:N6"/>
    <mergeCell ref="O6:P6"/>
    <mergeCell ref="R6:S6"/>
    <mergeCell ref="T6:X6"/>
    <mergeCell ref="AX6:AZ6"/>
    <mergeCell ref="BZ8:CO8"/>
    <mergeCell ref="B7:D7"/>
    <mergeCell ref="E7:H7"/>
    <mergeCell ref="I7:N7"/>
    <mergeCell ref="O7:P7"/>
    <mergeCell ref="R7:S7"/>
    <mergeCell ref="T7:X7"/>
    <mergeCell ref="AX7:AZ7"/>
    <mergeCell ref="BB7:BD7"/>
    <mergeCell ref="BF7:BH7"/>
    <mergeCell ref="BT7:BY7"/>
    <mergeCell ref="BZ7:CO7"/>
    <mergeCell ref="I12:J12"/>
    <mergeCell ref="K12:L12"/>
    <mergeCell ref="B8:D8"/>
    <mergeCell ref="E8:H8"/>
    <mergeCell ref="I8:N8"/>
    <mergeCell ref="O8:P8"/>
    <mergeCell ref="R8:S8"/>
    <mergeCell ref="T8:X8"/>
    <mergeCell ref="BT8:BY8"/>
    <mergeCell ref="B11:Y11"/>
    <mergeCell ref="AX11:BB11"/>
    <mergeCell ref="BC11:BR11"/>
    <mergeCell ref="BT11:BY11"/>
    <mergeCell ref="M12:N12"/>
    <mergeCell ref="O12:P12"/>
    <mergeCell ref="R12:S12"/>
    <mergeCell ref="T12:U12"/>
    <mergeCell ref="W12:X12"/>
    <mergeCell ref="F12:G12"/>
    <mergeCell ref="BZ11:CO11"/>
    <mergeCell ref="B9:D9"/>
    <mergeCell ref="E9:N9"/>
    <mergeCell ref="O9:P9"/>
    <mergeCell ref="R9:S9"/>
    <mergeCell ref="T9:X9"/>
    <mergeCell ref="AW9:BB9"/>
    <mergeCell ref="BD9:BI9"/>
    <mergeCell ref="BJ9:BR9"/>
    <mergeCell ref="BT9:BY9"/>
    <mergeCell ref="BZ9:CO9"/>
    <mergeCell ref="AY10:BB10"/>
    <mergeCell ref="BC10:BR10"/>
    <mergeCell ref="BT10:BY10"/>
    <mergeCell ref="BZ10:CO10"/>
    <mergeCell ref="C14:E14"/>
    <mergeCell ref="F14:G14"/>
    <mergeCell ref="I14:J14"/>
    <mergeCell ref="K14:L14"/>
    <mergeCell ref="M14:N14"/>
    <mergeCell ref="O14:P14"/>
    <mergeCell ref="R14:S14"/>
    <mergeCell ref="T14:U14"/>
    <mergeCell ref="W14:X14"/>
    <mergeCell ref="C13:E13"/>
    <mergeCell ref="F13:G13"/>
    <mergeCell ref="I13:J13"/>
    <mergeCell ref="K13:L13"/>
    <mergeCell ref="M13:N13"/>
    <mergeCell ref="O13:P13"/>
    <mergeCell ref="R13:S13"/>
    <mergeCell ref="T13:U13"/>
    <mergeCell ref="W13:X13"/>
    <mergeCell ref="AX16:BB16"/>
    <mergeCell ref="BC16:BR16"/>
    <mergeCell ref="C15:E15"/>
    <mergeCell ref="F15:G15"/>
    <mergeCell ref="I15:J15"/>
    <mergeCell ref="K15:L15"/>
    <mergeCell ref="M15:N15"/>
    <mergeCell ref="O15:P15"/>
    <mergeCell ref="R15:S15"/>
    <mergeCell ref="T15:U15"/>
    <mergeCell ref="W15:X15"/>
    <mergeCell ref="C16:E16"/>
    <mergeCell ref="F16:G16"/>
    <mergeCell ref="I16:J16"/>
    <mergeCell ref="K16:L16"/>
    <mergeCell ref="M16:N16"/>
    <mergeCell ref="O16:P16"/>
    <mergeCell ref="R16:S16"/>
    <mergeCell ref="T16:U16"/>
    <mergeCell ref="W16:X16"/>
    <mergeCell ref="BT17:CO17"/>
    <mergeCell ref="C18:E18"/>
    <mergeCell ref="F18:G18"/>
    <mergeCell ref="I18:J18"/>
    <mergeCell ref="K18:L18"/>
    <mergeCell ref="M18:N18"/>
    <mergeCell ref="O18:P18"/>
    <mergeCell ref="R18:S18"/>
    <mergeCell ref="T18:U18"/>
    <mergeCell ref="W18:X18"/>
    <mergeCell ref="AX18:BB18"/>
    <mergeCell ref="BC18:BR18"/>
    <mergeCell ref="BU18:BY18"/>
    <mergeCell ref="BZ18:CO18"/>
    <mergeCell ref="BC17:BR17"/>
    <mergeCell ref="C17:E17"/>
    <mergeCell ref="F17:G17"/>
    <mergeCell ref="I17:J17"/>
    <mergeCell ref="K17:L17"/>
    <mergeCell ref="M17:N17"/>
    <mergeCell ref="O17:P17"/>
    <mergeCell ref="R17:S17"/>
    <mergeCell ref="T17:U17"/>
    <mergeCell ref="W17:X17"/>
    <mergeCell ref="AX19:BB19"/>
    <mergeCell ref="BC19:BR19"/>
    <mergeCell ref="BU19:BY19"/>
    <mergeCell ref="BZ19:CO19"/>
    <mergeCell ref="B20:R20"/>
    <mergeCell ref="S20:X20"/>
    <mergeCell ref="AX20:BB20"/>
    <mergeCell ref="BC20:BR20"/>
    <mergeCell ref="BU20:BY20"/>
    <mergeCell ref="BZ20:CO20"/>
    <mergeCell ref="BC25:BR25"/>
    <mergeCell ref="G21:H21"/>
    <mergeCell ref="N21:O21"/>
    <mergeCell ref="Q21:R21"/>
    <mergeCell ref="AX21:BB21"/>
    <mergeCell ref="BC21:BR21"/>
    <mergeCell ref="BU21:BY21"/>
    <mergeCell ref="BZ21:CO21"/>
    <mergeCell ref="B22:C22"/>
    <mergeCell ref="D22:E22"/>
    <mergeCell ref="G22:H22"/>
    <mergeCell ref="J22:L22"/>
    <mergeCell ref="M22:O22"/>
    <mergeCell ref="Q22:S22"/>
    <mergeCell ref="AX22:BB22"/>
    <mergeCell ref="BC22:BR22"/>
    <mergeCell ref="BU22:BY22"/>
    <mergeCell ref="BZ22:CO22"/>
    <mergeCell ref="BU23:BY23"/>
    <mergeCell ref="BZ23:CO23"/>
    <mergeCell ref="G24:H24"/>
    <mergeCell ref="P24:Q24"/>
    <mergeCell ref="AA24:AB24"/>
    <mergeCell ref="AC24:AT24"/>
    <mergeCell ref="AX24:BB24"/>
    <mergeCell ref="BC24:BR24"/>
    <mergeCell ref="BU24:BY24"/>
    <mergeCell ref="BZ24:CO24"/>
    <mergeCell ref="B23:C23"/>
    <mergeCell ref="D23:E23"/>
    <mergeCell ref="G23:H23"/>
    <mergeCell ref="J23:L23"/>
    <mergeCell ref="M23:O23"/>
    <mergeCell ref="Q23:S23"/>
    <mergeCell ref="AA23:AT23"/>
    <mergeCell ref="AX23:BB23"/>
    <mergeCell ref="BC23:BR23"/>
    <mergeCell ref="BU25:BY25"/>
    <mergeCell ref="BZ25:CO25"/>
    <mergeCell ref="B26:E26"/>
    <mergeCell ref="F26:H26"/>
    <mergeCell ref="J26:M26"/>
    <mergeCell ref="N26:Q26"/>
    <mergeCell ref="R26:U26"/>
    <mergeCell ref="V26:Y26"/>
    <mergeCell ref="AA26:AB26"/>
    <mergeCell ref="AC26:AT26"/>
    <mergeCell ref="AX26:BB26"/>
    <mergeCell ref="BC26:BR26"/>
    <mergeCell ref="BU26:BY26"/>
    <mergeCell ref="BZ26:CO26"/>
    <mergeCell ref="B25:C25"/>
    <mergeCell ref="D25:E25"/>
    <mergeCell ref="G25:H25"/>
    <mergeCell ref="J25:M25"/>
    <mergeCell ref="N25:Q25"/>
    <mergeCell ref="R25:U25"/>
    <mergeCell ref="V25:Y25"/>
    <mergeCell ref="AA25:AB25"/>
    <mergeCell ref="AC25:AT25"/>
    <mergeCell ref="AX25:BB25"/>
    <mergeCell ref="B27:E27"/>
    <mergeCell ref="F27:H27"/>
    <mergeCell ref="J27:M27"/>
    <mergeCell ref="N27:Q27"/>
    <mergeCell ref="R27:U27"/>
    <mergeCell ref="V27:Y27"/>
    <mergeCell ref="AA27:AB27"/>
    <mergeCell ref="AC27:AT27"/>
    <mergeCell ref="AX27:BB27"/>
    <mergeCell ref="B29:F29"/>
    <mergeCell ref="G29:I29"/>
    <mergeCell ref="L29:AF29"/>
    <mergeCell ref="AG29:AK29"/>
    <mergeCell ref="AM29:AR29"/>
    <mergeCell ref="AS29:AT29"/>
    <mergeCell ref="AX29:BB29"/>
    <mergeCell ref="BC29:BR29"/>
    <mergeCell ref="BU29:BY29"/>
    <mergeCell ref="BC27:BR27"/>
    <mergeCell ref="BU27:BY27"/>
    <mergeCell ref="BZ27:CO27"/>
    <mergeCell ref="AX28:BB28"/>
    <mergeCell ref="BC28:BR28"/>
    <mergeCell ref="BU28:BY28"/>
    <mergeCell ref="BZ28:CO28"/>
    <mergeCell ref="BZ29:CO29"/>
    <mergeCell ref="AL30:AM30"/>
    <mergeCell ref="AO30:AP30"/>
    <mergeCell ref="AQ30:AR30"/>
    <mergeCell ref="AX30:BB30"/>
    <mergeCell ref="BC30:BR30"/>
    <mergeCell ref="D30:E30"/>
    <mergeCell ref="F30:G30"/>
    <mergeCell ref="I30:J30"/>
    <mergeCell ref="L30:M30"/>
    <mergeCell ref="C31:E31"/>
    <mergeCell ref="F31:G31"/>
    <mergeCell ref="I31:J31"/>
    <mergeCell ref="L31:N31"/>
    <mergeCell ref="P31:S31"/>
    <mergeCell ref="AG31:AH31"/>
    <mergeCell ref="Q30:R30"/>
    <mergeCell ref="W30:X30"/>
    <mergeCell ref="AA30:AB30"/>
    <mergeCell ref="AD30:AE30"/>
    <mergeCell ref="BT31:CO31"/>
    <mergeCell ref="AK31:AN31"/>
    <mergeCell ref="AO31:AP31"/>
    <mergeCell ref="AQ31:AR31"/>
    <mergeCell ref="AX31:BB31"/>
    <mergeCell ref="BC31:BR31"/>
    <mergeCell ref="U31:Z31"/>
    <mergeCell ref="AA31:AB31"/>
    <mergeCell ref="AD31:AE31"/>
    <mergeCell ref="AS31:AT31"/>
    <mergeCell ref="AS30:AT30"/>
    <mergeCell ref="AF30:AH30"/>
    <mergeCell ref="B32:G32"/>
    <mergeCell ref="L32:M32"/>
    <mergeCell ref="P32:R32"/>
    <mergeCell ref="AP32:AQ32"/>
    <mergeCell ref="AR32:AT32"/>
    <mergeCell ref="AX32:BB32"/>
    <mergeCell ref="C33:E33"/>
    <mergeCell ref="F33:G33"/>
    <mergeCell ref="I33:J33"/>
    <mergeCell ref="L33:N33"/>
    <mergeCell ref="P33:S33"/>
    <mergeCell ref="AF33:AG33"/>
    <mergeCell ref="U33:AB33"/>
    <mergeCell ref="AL33:AM33"/>
    <mergeCell ref="AN33:AO33"/>
    <mergeCell ref="AP33:AQ33"/>
    <mergeCell ref="AN32:AO32"/>
    <mergeCell ref="BT33:BY33"/>
    <mergeCell ref="BZ33:CO33"/>
    <mergeCell ref="C34:E34"/>
    <mergeCell ref="F34:G34"/>
    <mergeCell ref="I34:J34"/>
    <mergeCell ref="L34:N34"/>
    <mergeCell ref="P34:S34"/>
    <mergeCell ref="AF34:AG34"/>
    <mergeCell ref="U34:AB34"/>
    <mergeCell ref="AL34:AM34"/>
    <mergeCell ref="AN34:AO34"/>
    <mergeCell ref="AP34:AQ34"/>
    <mergeCell ref="AS34:AT34"/>
    <mergeCell ref="AX34:BB34"/>
    <mergeCell ref="BC34:BR34"/>
    <mergeCell ref="BT34:BY34"/>
    <mergeCell ref="BZ34:CO34"/>
    <mergeCell ref="AC33:AD33"/>
    <mergeCell ref="AC34:AD34"/>
    <mergeCell ref="AS33:AT33"/>
    <mergeCell ref="AX33:BB33"/>
    <mergeCell ref="BC33:BR33"/>
    <mergeCell ref="AH34:AI34"/>
    <mergeCell ref="C35:E35"/>
    <mergeCell ref="F35:G35"/>
    <mergeCell ref="I35:J35"/>
    <mergeCell ref="L35:N35"/>
    <mergeCell ref="P35:S35"/>
    <mergeCell ref="AF35:AG35"/>
    <mergeCell ref="U35:AB35"/>
    <mergeCell ref="AC35:AD35"/>
    <mergeCell ref="AN35:AO35"/>
    <mergeCell ref="AL35:AM35"/>
    <mergeCell ref="AH35:AI35"/>
    <mergeCell ref="AP35:AQ35"/>
    <mergeCell ref="AS35:AT35"/>
    <mergeCell ref="AX35:BB35"/>
    <mergeCell ref="BC35:BR35"/>
    <mergeCell ref="AC36:AD36"/>
    <mergeCell ref="AX36:BB36"/>
    <mergeCell ref="BC36:BR36"/>
    <mergeCell ref="BT35:BY35"/>
    <mergeCell ref="BZ35:CO35"/>
    <mergeCell ref="BT36:BY36"/>
    <mergeCell ref="BZ36:CO36"/>
    <mergeCell ref="AH36:AI36"/>
    <mergeCell ref="AS37:AT37"/>
    <mergeCell ref="AX37:BB37"/>
    <mergeCell ref="BC37:BR37"/>
    <mergeCell ref="B36:G36"/>
    <mergeCell ref="L36:N36"/>
    <mergeCell ref="P36:S36"/>
    <mergeCell ref="AF36:AG36"/>
    <mergeCell ref="AL36:AM36"/>
    <mergeCell ref="U37:AB37"/>
    <mergeCell ref="AN36:AO36"/>
    <mergeCell ref="AP36:AQ36"/>
    <mergeCell ref="AS36:AT36"/>
    <mergeCell ref="C37:E37"/>
    <mergeCell ref="F37:G37"/>
    <mergeCell ref="I37:J37"/>
    <mergeCell ref="L37:N37"/>
    <mergeCell ref="P37:S37"/>
    <mergeCell ref="AF37:AG37"/>
    <mergeCell ref="AL37:AM37"/>
    <mergeCell ref="AN37:AO37"/>
    <mergeCell ref="AP37:AQ37"/>
    <mergeCell ref="AH37:AI37"/>
    <mergeCell ref="U36:AB36"/>
    <mergeCell ref="BT38:CO38"/>
    <mergeCell ref="C39:E39"/>
    <mergeCell ref="F39:G39"/>
    <mergeCell ref="I39:J39"/>
    <mergeCell ref="L39:M39"/>
    <mergeCell ref="P39:T39"/>
    <mergeCell ref="U39:AR39"/>
    <mergeCell ref="AS39:AT39"/>
    <mergeCell ref="AX39:BB39"/>
    <mergeCell ref="BC39:BR39"/>
    <mergeCell ref="BT39:BY39"/>
    <mergeCell ref="BZ39:CO39"/>
    <mergeCell ref="C38:E38"/>
    <mergeCell ref="F38:G38"/>
    <mergeCell ref="I38:J38"/>
    <mergeCell ref="L38:M38"/>
    <mergeCell ref="Q38:R38"/>
    <mergeCell ref="U38:AR38"/>
    <mergeCell ref="AS38:AT38"/>
    <mergeCell ref="AX38:BB38"/>
    <mergeCell ref="BC38:BR38"/>
    <mergeCell ref="BZ42:CO42"/>
    <mergeCell ref="BT40:BY40"/>
    <mergeCell ref="BZ40:CO40"/>
    <mergeCell ref="C41:E41"/>
    <mergeCell ref="F41:G41"/>
    <mergeCell ref="I41:J41"/>
    <mergeCell ref="L41:M41"/>
    <mergeCell ref="P41:T41"/>
    <mergeCell ref="U41:AR41"/>
    <mergeCell ref="AS41:AT41"/>
    <mergeCell ref="AX41:BB41"/>
    <mergeCell ref="BC41:BR41"/>
    <mergeCell ref="BT41:BY41"/>
    <mergeCell ref="BZ41:CO41"/>
    <mergeCell ref="C40:E40"/>
    <mergeCell ref="F40:G40"/>
    <mergeCell ref="I40:J40"/>
    <mergeCell ref="L40:M40"/>
    <mergeCell ref="P40:T40"/>
    <mergeCell ref="U40:AR40"/>
    <mergeCell ref="AS40:AT40"/>
    <mergeCell ref="AX40:BB40"/>
    <mergeCell ref="BC40:BR40"/>
    <mergeCell ref="BC43:BR43"/>
    <mergeCell ref="B42:G42"/>
    <mergeCell ref="L42:M42"/>
    <mergeCell ref="P42:T42"/>
    <mergeCell ref="U42:AR42"/>
    <mergeCell ref="AS42:AT42"/>
    <mergeCell ref="AX42:BB42"/>
    <mergeCell ref="BC42:BR42"/>
    <mergeCell ref="BT42:BY42"/>
    <mergeCell ref="AS45:AT45"/>
    <mergeCell ref="AX45:BB45"/>
    <mergeCell ref="BC45:BR45"/>
    <mergeCell ref="BT43:BY43"/>
    <mergeCell ref="BZ43:CO43"/>
    <mergeCell ref="C44:E44"/>
    <mergeCell ref="F44:G44"/>
    <mergeCell ref="I44:J44"/>
    <mergeCell ref="L44:M44"/>
    <mergeCell ref="P44:T44"/>
    <mergeCell ref="U44:AR44"/>
    <mergeCell ref="AS44:AT44"/>
    <mergeCell ref="AX44:BB44"/>
    <mergeCell ref="BC44:BR44"/>
    <mergeCell ref="BT44:BY44"/>
    <mergeCell ref="BZ44:CO44"/>
    <mergeCell ref="C43:E43"/>
    <mergeCell ref="F43:G43"/>
    <mergeCell ref="I43:J43"/>
    <mergeCell ref="L43:M43"/>
    <mergeCell ref="P43:T43"/>
    <mergeCell ref="U43:AR43"/>
    <mergeCell ref="AS43:AT43"/>
    <mergeCell ref="AX43:BB43"/>
    <mergeCell ref="AI49:AM49"/>
    <mergeCell ref="AN49:AO49"/>
    <mergeCell ref="AP49:AT49"/>
    <mergeCell ref="AX49:BB49"/>
    <mergeCell ref="BC49:BR49"/>
    <mergeCell ref="BT45:BY45"/>
    <mergeCell ref="BZ45:CO45"/>
    <mergeCell ref="C46:E46"/>
    <mergeCell ref="F46:G46"/>
    <mergeCell ref="I46:J46"/>
    <mergeCell ref="L46:M46"/>
    <mergeCell ref="P46:T46"/>
    <mergeCell ref="U46:AR46"/>
    <mergeCell ref="AS46:AT46"/>
    <mergeCell ref="AX46:BB46"/>
    <mergeCell ref="BC46:BR46"/>
    <mergeCell ref="BT46:BY46"/>
    <mergeCell ref="BZ46:CO46"/>
    <mergeCell ref="C45:E45"/>
    <mergeCell ref="F45:G45"/>
    <mergeCell ref="I45:J45"/>
    <mergeCell ref="L45:M45"/>
    <mergeCell ref="P45:T45"/>
    <mergeCell ref="U45:AR45"/>
    <mergeCell ref="BT47:BY47"/>
    <mergeCell ref="BZ47:CO47"/>
    <mergeCell ref="B48:G48"/>
    <mergeCell ref="L48:AE48"/>
    <mergeCell ref="AG48:AT48"/>
    <mergeCell ref="AX48:BB48"/>
    <mergeCell ref="BC48:BR48"/>
    <mergeCell ref="BT48:BY48"/>
    <mergeCell ref="BZ48:CO48"/>
    <mergeCell ref="C47:E47"/>
    <mergeCell ref="F47:G47"/>
    <mergeCell ref="I47:J47"/>
    <mergeCell ref="L47:M47"/>
    <mergeCell ref="P47:T47"/>
    <mergeCell ref="U47:AR47"/>
    <mergeCell ref="AS47:AT47"/>
    <mergeCell ref="AX47:BB47"/>
    <mergeCell ref="BC47:BR47"/>
    <mergeCell ref="BT49:BY49"/>
    <mergeCell ref="BZ49:CO49"/>
    <mergeCell ref="C50:E50"/>
    <mergeCell ref="F50:G50"/>
    <mergeCell ref="I50:J50"/>
    <mergeCell ref="L50:N50"/>
    <mergeCell ref="O50:Q50"/>
    <mergeCell ref="R50:T50"/>
    <mergeCell ref="V50:AA50"/>
    <mergeCell ref="AC50:AE50"/>
    <mergeCell ref="AG50:AH50"/>
    <mergeCell ref="AI50:AM50"/>
    <mergeCell ref="AN50:AT50"/>
    <mergeCell ref="AX50:BB50"/>
    <mergeCell ref="BC50:BR50"/>
    <mergeCell ref="C49:E49"/>
    <mergeCell ref="F49:G49"/>
    <mergeCell ref="I49:J49"/>
    <mergeCell ref="L49:N49"/>
    <mergeCell ref="O49:Q49"/>
    <mergeCell ref="R49:T49"/>
    <mergeCell ref="V49:AA49"/>
    <mergeCell ref="AC49:AE49"/>
    <mergeCell ref="AG49:AH49"/>
    <mergeCell ref="AI51:AM51"/>
    <mergeCell ref="AX51:BB51"/>
    <mergeCell ref="BC51:BR51"/>
    <mergeCell ref="C52:E52"/>
    <mergeCell ref="F52:G52"/>
    <mergeCell ref="I52:J52"/>
    <mergeCell ref="L52:N52"/>
    <mergeCell ref="O52:Q52"/>
    <mergeCell ref="R52:T52"/>
    <mergeCell ref="V52:AA52"/>
    <mergeCell ref="AC52:AE52"/>
    <mergeCell ref="AG52:AH52"/>
    <mergeCell ref="AI52:AM52"/>
    <mergeCell ref="AX52:BB52"/>
    <mergeCell ref="BC52:BR52"/>
    <mergeCell ref="C51:E51"/>
    <mergeCell ref="F51:G51"/>
    <mergeCell ref="I51:J51"/>
    <mergeCell ref="L51:N51"/>
    <mergeCell ref="O51:Q51"/>
    <mergeCell ref="R51:T51"/>
    <mergeCell ref="V51:AA51"/>
    <mergeCell ref="AC51:AE51"/>
    <mergeCell ref="AG51:AH51"/>
    <mergeCell ref="AX53:BB53"/>
    <mergeCell ref="BC53:BR53"/>
    <mergeCell ref="B54:N54"/>
    <mergeCell ref="P54:V54"/>
    <mergeCell ref="X54:AT54"/>
    <mergeCell ref="AX54:BB54"/>
    <mergeCell ref="BC54:BR54"/>
    <mergeCell ref="B55:C55"/>
    <mergeCell ref="D55:E55"/>
    <mergeCell ref="F55:G55"/>
    <mergeCell ref="H55:I55"/>
    <mergeCell ref="J55:N55"/>
    <mergeCell ref="Q55:V55"/>
    <mergeCell ref="Y55:AD55"/>
    <mergeCell ref="AG55:AL55"/>
    <mergeCell ref="AO55:AT55"/>
    <mergeCell ref="AX55:BB55"/>
    <mergeCell ref="BC55:BR55"/>
    <mergeCell ref="AX56:BB56"/>
    <mergeCell ref="BC56:BR56"/>
    <mergeCell ref="B57:C57"/>
    <mergeCell ref="D57:E57"/>
    <mergeCell ref="F57:G57"/>
    <mergeCell ref="H57:I57"/>
    <mergeCell ref="J57:N57"/>
    <mergeCell ref="Q57:V57"/>
    <mergeCell ref="Y57:AD57"/>
    <mergeCell ref="AG57:AL57"/>
    <mergeCell ref="AO57:AT57"/>
    <mergeCell ref="AX57:BB57"/>
    <mergeCell ref="BC57:BR57"/>
    <mergeCell ref="B56:C56"/>
    <mergeCell ref="D56:E56"/>
    <mergeCell ref="F56:G56"/>
    <mergeCell ref="H56:I56"/>
    <mergeCell ref="J56:N56"/>
    <mergeCell ref="Q56:V56"/>
    <mergeCell ref="Y56:AD56"/>
    <mergeCell ref="AG56:AL56"/>
    <mergeCell ref="AO56:AT56"/>
    <mergeCell ref="AX58:BB58"/>
    <mergeCell ref="BC58:BR58"/>
    <mergeCell ref="B59:E59"/>
    <mergeCell ref="Q59:V59"/>
    <mergeCell ref="Y59:AD59"/>
    <mergeCell ref="AG59:AL59"/>
    <mergeCell ref="AO59:AT59"/>
    <mergeCell ref="AX59:BB59"/>
    <mergeCell ref="BC59:BR59"/>
    <mergeCell ref="B58:C58"/>
    <mergeCell ref="D58:E58"/>
    <mergeCell ref="F58:G58"/>
    <mergeCell ref="H58:I58"/>
    <mergeCell ref="J58:N58"/>
    <mergeCell ref="Q58:V58"/>
    <mergeCell ref="Y58:AD58"/>
    <mergeCell ref="AG58:AL58"/>
    <mergeCell ref="AO58:AT58"/>
    <mergeCell ref="F59:N59"/>
    <mergeCell ref="AG60:AL60"/>
    <mergeCell ref="AO60:AT60"/>
    <mergeCell ref="AX60:BB60"/>
    <mergeCell ref="BC60:BR60"/>
    <mergeCell ref="B61:D61"/>
    <mergeCell ref="E61:I61"/>
    <mergeCell ref="J61:L61"/>
    <mergeCell ref="Q61:V61"/>
    <mergeCell ref="Y61:AD61"/>
    <mergeCell ref="AG61:AL61"/>
    <mergeCell ref="AO61:AT61"/>
    <mergeCell ref="AX61:BB61"/>
    <mergeCell ref="BC61:BR61"/>
    <mergeCell ref="F60:N60"/>
    <mergeCell ref="BC62:BR62"/>
    <mergeCell ref="B63:D63"/>
    <mergeCell ref="E63:F63"/>
    <mergeCell ref="H63:I63"/>
    <mergeCell ref="J63:L63"/>
    <mergeCell ref="Q63:V63"/>
    <mergeCell ref="Y63:AD63"/>
    <mergeCell ref="AG63:AL63"/>
    <mergeCell ref="AO63:AT63"/>
    <mergeCell ref="AX63:BB63"/>
    <mergeCell ref="BC63:BR63"/>
    <mergeCell ref="B62:D62"/>
    <mergeCell ref="E62:F62"/>
    <mergeCell ref="H62:I62"/>
    <mergeCell ref="J62:L62"/>
    <mergeCell ref="Q62:V62"/>
    <mergeCell ref="Y62:AD62"/>
    <mergeCell ref="AG62:AL62"/>
    <mergeCell ref="AO62:AT62"/>
    <mergeCell ref="AX62:BB62"/>
    <mergeCell ref="AG64:AL64"/>
    <mergeCell ref="AO64:AT64"/>
    <mergeCell ref="AX64:BB64"/>
    <mergeCell ref="BC64:BR64"/>
    <mergeCell ref="B65:D65"/>
    <mergeCell ref="E65:F65"/>
    <mergeCell ref="H65:I65"/>
    <mergeCell ref="J65:L65"/>
    <mergeCell ref="P65:AD65"/>
    <mergeCell ref="AG65:AL65"/>
    <mergeCell ref="AO65:AT65"/>
    <mergeCell ref="AX65:BB65"/>
    <mergeCell ref="BC65:BR65"/>
    <mergeCell ref="BC66:BR66"/>
    <mergeCell ref="B67:D67"/>
    <mergeCell ref="E67:F67"/>
    <mergeCell ref="H67:I67"/>
    <mergeCell ref="J67:L67"/>
    <mergeCell ref="Q67:V67"/>
    <mergeCell ref="Y67:AD67"/>
    <mergeCell ref="AG67:AL67"/>
    <mergeCell ref="AO67:AT67"/>
    <mergeCell ref="AX67:BB67"/>
    <mergeCell ref="BC67:BR67"/>
    <mergeCell ref="B66:D66"/>
    <mergeCell ref="E66:F66"/>
    <mergeCell ref="H66:I66"/>
    <mergeCell ref="J66:L66"/>
    <mergeCell ref="Q66:V66"/>
    <mergeCell ref="Y66:AD66"/>
    <mergeCell ref="AG66:AL66"/>
    <mergeCell ref="AO66:AT66"/>
    <mergeCell ref="AX66:BB66"/>
    <mergeCell ref="AG68:AL68"/>
    <mergeCell ref="AO68:AT68"/>
    <mergeCell ref="B69:D69"/>
    <mergeCell ref="E69:F69"/>
    <mergeCell ref="H69:I69"/>
    <mergeCell ref="J69:L69"/>
    <mergeCell ref="Q69:V69"/>
    <mergeCell ref="Y69:AD69"/>
    <mergeCell ref="AG69:AL69"/>
    <mergeCell ref="AO69:AT69"/>
    <mergeCell ref="CA70:CO83"/>
    <mergeCell ref="B76:E76"/>
    <mergeCell ref="G76:J76"/>
    <mergeCell ref="L76:P76"/>
    <mergeCell ref="B77:E77"/>
    <mergeCell ref="G77:J77"/>
    <mergeCell ref="L77:P77"/>
    <mergeCell ref="BL70:BZ83"/>
    <mergeCell ref="B79:P80"/>
    <mergeCell ref="R74:AT83"/>
    <mergeCell ref="B82:P83"/>
    <mergeCell ref="B75:G75"/>
    <mergeCell ref="I75:P75"/>
    <mergeCell ref="K71:L71"/>
    <mergeCell ref="B78:F78"/>
    <mergeCell ref="G78:P78"/>
    <mergeCell ref="B81:P81"/>
    <mergeCell ref="AN51:AT52"/>
    <mergeCell ref="BI6:BQ7"/>
    <mergeCell ref="W22:Y23"/>
    <mergeCell ref="Q3:R4"/>
    <mergeCell ref="S3:U4"/>
    <mergeCell ref="U22:V23"/>
    <mergeCell ref="AA3:AT22"/>
    <mergeCell ref="B74:G74"/>
    <mergeCell ref="I74:P74"/>
    <mergeCell ref="AW3:AW7"/>
    <mergeCell ref="AW70:BK83"/>
    <mergeCell ref="AG71:AL71"/>
    <mergeCell ref="AO71:AT71"/>
    <mergeCell ref="B73:P73"/>
    <mergeCell ref="R73:AT73"/>
    <mergeCell ref="AW69:CO69"/>
    <mergeCell ref="B70:D70"/>
    <mergeCell ref="E70:F70"/>
    <mergeCell ref="H70:I70"/>
    <mergeCell ref="J70:L70"/>
    <mergeCell ref="Q70:V70"/>
    <mergeCell ref="Y70:AD70"/>
    <mergeCell ref="AG70:AL70"/>
    <mergeCell ref="AO70:AT70"/>
    <mergeCell ref="U49:U50"/>
    <mergeCell ref="AB49:AB50"/>
    <mergeCell ref="AF49:AF50"/>
    <mergeCell ref="Q71:V71"/>
    <mergeCell ref="Y71:AD71"/>
    <mergeCell ref="B68:D68"/>
    <mergeCell ref="E68:F68"/>
    <mergeCell ref="H68:I68"/>
    <mergeCell ref="J68:L68"/>
    <mergeCell ref="Q68:V68"/>
    <mergeCell ref="Y68:AD68"/>
    <mergeCell ref="B64:D64"/>
    <mergeCell ref="E64:F64"/>
    <mergeCell ref="H64:I64"/>
    <mergeCell ref="J64:L64"/>
    <mergeCell ref="B60:E60"/>
    <mergeCell ref="Q60:V60"/>
    <mergeCell ref="Y60:AD60"/>
  </mergeCells>
  <phoneticPr fontId="86" type="noConversion"/>
  <conditionalFormatting sqref="C13">
    <cfRule type="expression" dxfId="114" priority="201">
      <formula>$B$13="O"</formula>
    </cfRule>
  </conditionalFormatting>
  <conditionalFormatting sqref="C14">
    <cfRule type="expression" dxfId="113" priority="200">
      <formula>$B$14="O"</formula>
    </cfRule>
  </conditionalFormatting>
  <conditionalFormatting sqref="C15">
    <cfRule type="expression" dxfId="112" priority="199">
      <formula>$B$15="O"</formula>
    </cfRule>
  </conditionalFormatting>
  <conditionalFormatting sqref="C16">
    <cfRule type="expression" dxfId="111" priority="198">
      <formula>$B$16="O"</formula>
    </cfRule>
  </conditionalFormatting>
  <conditionalFormatting sqref="C17">
    <cfRule type="expression" dxfId="110" priority="197">
      <formula>$B$17="O"</formula>
    </cfRule>
  </conditionalFormatting>
  <conditionalFormatting sqref="C18">
    <cfRule type="expression" dxfId="109" priority="196">
      <formula>$B$18="O"</formula>
    </cfRule>
  </conditionalFormatting>
  <conditionalFormatting sqref="C31">
    <cfRule type="expression" dxfId="108" priority="175">
      <formula>$B$31="O"</formula>
    </cfRule>
  </conditionalFormatting>
  <conditionalFormatting sqref="C33">
    <cfRule type="expression" dxfId="107" priority="223">
      <formula>$B$33="O"</formula>
    </cfRule>
  </conditionalFormatting>
  <conditionalFormatting sqref="C34">
    <cfRule type="expression" dxfId="106" priority="222">
      <formula>$B$34="O"</formula>
    </cfRule>
  </conditionalFormatting>
  <conditionalFormatting sqref="C35">
    <cfRule type="expression" dxfId="105" priority="221">
      <formula>$B$35="O"</formula>
    </cfRule>
  </conditionalFormatting>
  <conditionalFormatting sqref="C37">
    <cfRule type="expression" dxfId="104" priority="220">
      <formula>$B$37="O"</formula>
    </cfRule>
  </conditionalFormatting>
  <conditionalFormatting sqref="C38">
    <cfRule type="expression" dxfId="103" priority="219">
      <formula>$B$38="O"</formula>
    </cfRule>
  </conditionalFormatting>
  <conditionalFormatting sqref="C39">
    <cfRule type="expression" dxfId="102" priority="218">
      <formula>$B$39="O"</formula>
    </cfRule>
  </conditionalFormatting>
  <conditionalFormatting sqref="C40">
    <cfRule type="expression" dxfId="101" priority="217">
      <formula>$B$40="O"</formula>
    </cfRule>
  </conditionalFormatting>
  <conditionalFormatting sqref="C41">
    <cfRule type="expression" dxfId="100" priority="216">
      <formula>$B$41="O"</formula>
    </cfRule>
  </conditionalFormatting>
  <conditionalFormatting sqref="C43">
    <cfRule type="expression" dxfId="99" priority="215">
      <formula>$B$43="O"</formula>
    </cfRule>
  </conditionalFormatting>
  <conditionalFormatting sqref="C44">
    <cfRule type="expression" dxfId="98" priority="214">
      <formula>$B$44="O"</formula>
    </cfRule>
  </conditionalFormatting>
  <conditionalFormatting sqref="C45">
    <cfRule type="expression" dxfId="97" priority="213">
      <formula>$B$45="O"</formula>
    </cfRule>
  </conditionalFormatting>
  <conditionalFormatting sqref="C46">
    <cfRule type="expression" dxfId="96" priority="212">
      <formula>$B$46="O"</formula>
    </cfRule>
  </conditionalFormatting>
  <conditionalFormatting sqref="C47">
    <cfRule type="expression" dxfId="95" priority="211">
      <formula>$B$47="O"</formula>
    </cfRule>
  </conditionalFormatting>
  <conditionalFormatting sqref="C49">
    <cfRule type="expression" dxfId="94" priority="210">
      <formula>$B$49="O"</formula>
    </cfRule>
  </conditionalFormatting>
  <conditionalFormatting sqref="C50">
    <cfRule type="expression" dxfId="93" priority="209">
      <formula>$B$50="O"</formula>
    </cfRule>
  </conditionalFormatting>
  <conditionalFormatting sqref="C51">
    <cfRule type="expression" dxfId="92" priority="208">
      <formula>$B$51="O"</formula>
    </cfRule>
  </conditionalFormatting>
  <conditionalFormatting sqref="C52">
    <cfRule type="expression" dxfId="91" priority="207">
      <formula>$B$52="O"</formula>
    </cfRule>
  </conditionalFormatting>
  <conditionalFormatting sqref="C31:E31">
    <cfRule type="expression" dxfId="90" priority="174">
      <formula>$B$31="🅞"</formula>
    </cfRule>
  </conditionalFormatting>
  <conditionalFormatting sqref="C33:E33">
    <cfRule type="expression" dxfId="89" priority="173">
      <formula>$B$33="🅞"</formula>
    </cfRule>
  </conditionalFormatting>
  <conditionalFormatting sqref="C34:E34">
    <cfRule type="expression" dxfId="88" priority="172">
      <formula>$B$34="🅞"</formula>
    </cfRule>
  </conditionalFormatting>
  <conditionalFormatting sqref="C35:E35">
    <cfRule type="expression" dxfId="87" priority="171">
      <formula>$B$35="🅞"</formula>
    </cfRule>
  </conditionalFormatting>
  <conditionalFormatting sqref="C37:E37">
    <cfRule type="expression" dxfId="86" priority="170">
      <formula>$B$37="🅞"</formula>
    </cfRule>
  </conditionalFormatting>
  <conditionalFormatting sqref="C38:E38">
    <cfRule type="expression" dxfId="85" priority="169">
      <formula>$B$38="🅞"</formula>
    </cfRule>
  </conditionalFormatting>
  <conditionalFormatting sqref="C39:E39">
    <cfRule type="expression" dxfId="84" priority="168">
      <formula>$B$39="🅞"</formula>
    </cfRule>
  </conditionalFormatting>
  <conditionalFormatting sqref="C40:E40">
    <cfRule type="expression" dxfId="83" priority="167">
      <formula>$B$40="🅞"</formula>
    </cfRule>
  </conditionalFormatting>
  <conditionalFormatting sqref="C41:E41">
    <cfRule type="expression" dxfId="82" priority="166">
      <formula>$B$41="🅞"</formula>
    </cfRule>
  </conditionalFormatting>
  <conditionalFormatting sqref="C43:E43">
    <cfRule type="expression" dxfId="81" priority="165">
      <formula>$B$43="🅞"</formula>
    </cfRule>
  </conditionalFormatting>
  <conditionalFormatting sqref="C44:E44">
    <cfRule type="expression" dxfId="80" priority="164">
      <formula>$B$44="🅞"</formula>
    </cfRule>
  </conditionalFormatting>
  <conditionalFormatting sqref="C45:E45">
    <cfRule type="expression" dxfId="79" priority="163">
      <formula>$B$45="🅞"</formula>
    </cfRule>
  </conditionalFormatting>
  <conditionalFormatting sqref="C46:E46">
    <cfRule type="expression" dxfId="78" priority="162">
      <formula>$B$46="🅞"</formula>
    </cfRule>
  </conditionalFormatting>
  <conditionalFormatting sqref="C47:E47">
    <cfRule type="expression" dxfId="77" priority="161">
      <formula>$B$47="🅞"</formula>
    </cfRule>
  </conditionalFormatting>
  <conditionalFormatting sqref="C49:E49">
    <cfRule type="expression" dxfId="76" priority="160">
      <formula>$B$49="🅞"</formula>
    </cfRule>
  </conditionalFormatting>
  <conditionalFormatting sqref="C50:E50">
    <cfRule type="expression" dxfId="75" priority="159">
      <formula>$B$50="🅞"</formula>
    </cfRule>
  </conditionalFormatting>
  <conditionalFormatting sqref="C51:E51">
    <cfRule type="expression" dxfId="74" priority="158">
      <formula>$B$51="🅞"</formula>
    </cfRule>
  </conditionalFormatting>
  <conditionalFormatting sqref="C52:E52">
    <cfRule type="expression" dxfId="73" priority="157">
      <formula>$B$52="🅞"</formula>
    </cfRule>
  </conditionalFormatting>
  <conditionalFormatting sqref="E9:J9">
    <cfRule type="dataBar" priority="270">
      <dataBar>
        <cfvo type="num" val="0"/>
        <cfvo type="num" val="355000"/>
        <color rgb="FF00CC5B"/>
      </dataBar>
      <extLst>
        <ext xmlns:x14="http://schemas.microsoft.com/office/spreadsheetml/2009/9/main" uri="{B025F937-C7B1-47D3-B67F-A62EFF666E3E}">
          <x14:id>{57DA3C75-A861-4311-A9C1-D33A5B7916E4}</x14:id>
        </ext>
      </extLst>
    </cfRule>
  </conditionalFormatting>
  <conditionalFormatting sqref="P56:P63 X56:X63 AF56:AF71 AN56:AN71 P67:P71 X67:X71">
    <cfRule type="containsText" dxfId="71" priority="64" operator="containsText" text=" ">
      <formula>NOT(ISERROR(SEARCH(" ",P56)))</formula>
    </cfRule>
  </conditionalFormatting>
  <conditionalFormatting sqref="Q67:V71 Y67:AD71 AO56:AT71 AG56:AL71 Y56:AD63 Q56:V63">
    <cfRule type="duplicateValues" dxfId="58" priority="300"/>
  </conditionalFormatting>
  <conditionalFormatting sqref="X56:X63 AF56:AF71 AN56:AN71">
    <cfRule type="containsText" dxfId="56" priority="193" operator="containsText" text=".">
      <formula>NOT(ISERROR(SEARCH(".",X56)))</formula>
    </cfRule>
  </conditionalFormatting>
  <conditionalFormatting sqref="AX3:BQ3 AX5:BQ5">
    <cfRule type="expression" dxfId="10" priority="303">
      <formula>$BR$1="是"</formula>
    </cfRule>
  </conditionalFormatting>
  <dataValidations count="9">
    <dataValidation type="list" allowBlank="1" showInputMessage="1" showErrorMessage="1" sqref="BR1 Y20 J29 AS31:AT31" xr:uid="{00000000-0002-0000-0100-000000000000}">
      <formula1>"是,否"</formula1>
    </dataValidation>
    <dataValidation type="list" allowBlank="1" showInputMessage="1" sqref="T8" xr:uid="{00000000-0002-0000-0100-00000B000000}">
      <formula1>"守序善良,中立善良,混乱善良,守序中立,绝对中立,混乱中立,守序邪恶,中立邪恶,混乱邪恶,无阵营"</formula1>
    </dataValidation>
    <dataValidation type="list" allowBlank="1" showInputMessage="1" showErrorMessage="1" sqref="O31 AJ31 B13:B18 O39:O47 AE33:AE37 O33:O37" xr:uid="{00000000-0002-0000-0100-000012000000}">
      <formula1>"X,O"</formula1>
    </dataValidation>
    <dataValidation type="list" allowBlank="1" showInputMessage="1" showErrorMessage="1" sqref="F26 H26" xr:uid="{00000000-0002-0000-0100-000014000000}">
      <formula1>"力量,敏捷,体质,智力,感知,魅力"</formula1>
    </dataValidation>
    <dataValidation type="list" allowBlank="1" showInputMessage="1" showErrorMessage="1" sqref="AS29:AT29" xr:uid="{00000000-0002-0000-0100-000015000000}">
      <formula1>"默认,力量,敏捷,体质,智力,感知,魅力"</formula1>
    </dataValidation>
    <dataValidation type="list" allowBlank="1" showInputMessage="1" showErrorMessage="1" sqref="B31 B33:B35 B37:B41 B43:B47 B49:B52" xr:uid="{00000000-0002-0000-0100-000016000000}">
      <formula1>"X,O,🅞"</formula1>
    </dataValidation>
    <dataValidation type="list" allowBlank="1" showInputMessage="1" showErrorMessage="1" sqref="V51" xr:uid="{00000000-0002-0000-0100-000022000000}">
      <formula1>"最大载重,负重状态"</formula1>
    </dataValidation>
    <dataValidation allowBlank="1" showInputMessage="1" showErrorMessage="1" prompt="由于部分武器仅具有命中或伤害加值，因此该处加值只会被攻击骰结算。_x000a_如需加上伤害骰加值可以直接修改伤害骰。_x000a_" sqref="T33:T37" xr:uid="{9FAFAFDE-C4E5-4769-8E8C-6163C9BC1B84}"/>
    <dataValidation allowBlank="1" showInputMessage="1" showErrorMessage="1" sqref="AM34:AM37" xr:uid="{7A4E2B79-6D30-48DB-ADA8-83D176E4E241}"/>
  </dataValidations>
  <printOptions horizontalCentered="1"/>
  <pageMargins left="0" right="0" top="0" bottom="0" header="0" footer="0"/>
  <pageSetup paperSize="9" scale="95" fitToHeight="0" orientation="portrait"/>
  <rowBreaks count="1" manualBreakCount="1">
    <brk id="100" max="45" man="1"/>
  </rowBreaks>
  <ignoredErrors>
    <ignoredError sqref="AW11:AW67" unlockedFormula="1"/>
  </ignoredErrors>
  <legacyDrawing r:id="rId1"/>
  <extLst>
    <ext xmlns:x14="http://schemas.microsoft.com/office/spreadsheetml/2009/9/main" uri="{78C0D931-6437-407d-A8EE-F0AAD7539E65}">
      <x14:conditionalFormattings>
        <x14:conditionalFormatting xmlns:xm="http://schemas.microsoft.com/office/excel/2006/main">
          <x14:cfRule type="dataBar" id="{57DA3C75-A861-4311-A9C1-D33A5B7916E4}">
            <x14:dataBar minLength="0" maxLength="100" direction="leftToRight">
              <x14:cfvo type="num">
                <xm:f>0</xm:f>
              </x14:cfvo>
              <x14:cfvo type="num">
                <xm:f>355000</xm:f>
              </x14:cfvo>
              <x14:negativeFillColor rgb="FFFF0000"/>
              <x14:axisColor rgb="FF000000"/>
            </x14:dataBar>
          </x14:cfRule>
          <xm:sqref>E9:J9</xm:sqref>
        </x14:conditionalFormatting>
        <x14:conditionalFormatting xmlns:xm="http://schemas.microsoft.com/office/excel/2006/main">
          <x14:cfRule type="expression" priority="273" id="{00000000-000E-0000-0100-000011010000}">
            <xm:f>数据表!#REF!=3</xm:f>
            <x14:dxf>
              <font>
                <color theme="1"/>
              </font>
              <fill>
                <patternFill patternType="solid">
                  <bgColor theme="0" tint="-0.499984740745262"/>
                </patternFill>
              </fill>
            </x14:dxf>
          </x14:cfRule>
          <xm:sqref>M22 P22:Q22 P23</xm:sqref>
        </x14:conditionalFormatting>
        <x14:conditionalFormatting xmlns:xm="http://schemas.microsoft.com/office/excel/2006/main">
          <x14:cfRule type="expression" priority="61" id="{00000000-000E-0000-0100-00003D000000}">
            <xm:f>数据表!$I$3=1</xm:f>
            <x14:dxf>
              <fill>
                <gradientFill>
                  <stop position="0">
                    <color theme="0"/>
                  </stop>
                  <stop position="1">
                    <color rgb="FFDFECF7"/>
                  </stop>
                </gradientFill>
              </fill>
            </x14:dxf>
          </x14:cfRule>
          <xm:sqref>Q57</xm:sqref>
        </x14:conditionalFormatting>
        <x14:conditionalFormatting xmlns:xm="http://schemas.microsoft.com/office/excel/2006/main">
          <x14:cfRule type="expression" priority="60" id="{00000000-000E-0000-0100-00003C000000}">
            <xm:f>数据表!$I$4=1</xm:f>
            <x14:dxf>
              <fill>
                <gradientFill>
                  <stop position="0">
                    <color theme="0"/>
                  </stop>
                  <stop position="1">
                    <color rgb="FFDFECF7"/>
                  </stop>
                </gradientFill>
              </fill>
            </x14:dxf>
          </x14:cfRule>
          <xm:sqref>Q58</xm:sqref>
        </x14:conditionalFormatting>
        <x14:conditionalFormatting xmlns:xm="http://schemas.microsoft.com/office/excel/2006/main">
          <x14:cfRule type="expression" priority="59" id="{00000000-000E-0000-0100-00003B000000}">
            <xm:f>数据表!$I$5=1</xm:f>
            <x14:dxf>
              <fill>
                <gradientFill>
                  <stop position="0">
                    <color theme="0"/>
                  </stop>
                  <stop position="1">
                    <color rgb="FFDFECF7"/>
                  </stop>
                </gradientFill>
              </fill>
            </x14:dxf>
          </x14:cfRule>
          <xm:sqref>Q59</xm:sqref>
        </x14:conditionalFormatting>
        <x14:conditionalFormatting xmlns:xm="http://schemas.microsoft.com/office/excel/2006/main">
          <x14:cfRule type="expression" priority="58" id="{00000000-000E-0000-0100-00003A000000}">
            <xm:f>数据表!$I$6=1</xm:f>
            <x14:dxf>
              <fill>
                <gradientFill>
                  <stop position="0">
                    <color theme="0"/>
                  </stop>
                  <stop position="1">
                    <color rgb="FFDFECF7"/>
                  </stop>
                </gradientFill>
              </fill>
            </x14:dxf>
          </x14:cfRule>
          <xm:sqref>Q60</xm:sqref>
        </x14:conditionalFormatting>
        <x14:conditionalFormatting xmlns:xm="http://schemas.microsoft.com/office/excel/2006/main">
          <x14:cfRule type="expression" priority="57" id="{00000000-000E-0000-0100-000039000000}">
            <xm:f>数据表!$I$7=1</xm:f>
            <x14:dxf>
              <fill>
                <gradientFill>
                  <stop position="0">
                    <color theme="0"/>
                  </stop>
                  <stop position="1">
                    <color rgb="FFDFECF7"/>
                  </stop>
                </gradientFill>
              </fill>
            </x14:dxf>
          </x14:cfRule>
          <xm:sqref>Q61</xm:sqref>
        </x14:conditionalFormatting>
        <x14:conditionalFormatting xmlns:xm="http://schemas.microsoft.com/office/excel/2006/main">
          <x14:cfRule type="expression" priority="56" id="{00000000-000E-0000-0100-000038000000}">
            <xm:f>数据表!$I$8=1</xm:f>
            <x14:dxf>
              <fill>
                <gradientFill>
                  <stop position="0">
                    <color theme="0"/>
                  </stop>
                  <stop position="1">
                    <color rgb="FFDFECF7"/>
                  </stop>
                </gradientFill>
              </fill>
            </x14:dxf>
          </x14:cfRule>
          <xm:sqref>Q62</xm:sqref>
        </x14:conditionalFormatting>
        <x14:conditionalFormatting xmlns:xm="http://schemas.microsoft.com/office/excel/2006/main">
          <x14:cfRule type="expression" priority="55" id="{00000000-000E-0000-0100-000037000000}">
            <xm:f>数据表!$I$9=1</xm:f>
            <x14:dxf>
              <fill>
                <gradientFill>
                  <stop position="0">
                    <color theme="0"/>
                  </stop>
                  <stop position="1">
                    <color rgb="FFDFECF7"/>
                  </stop>
                </gradientFill>
              </fill>
            </x14:dxf>
          </x14:cfRule>
          <xm:sqref>Q63</xm:sqref>
        </x14:conditionalFormatting>
        <x14:conditionalFormatting xmlns:xm="http://schemas.microsoft.com/office/excel/2006/main">
          <x14:cfRule type="expression" priority="45" id="{00000000-000E-0000-0100-00002D000000}">
            <xm:f>数据表!$I$11=1</xm:f>
            <x14:dxf>
              <fill>
                <gradientFill>
                  <stop position="0">
                    <color theme="0"/>
                  </stop>
                  <stop position="1">
                    <color rgb="FFDFECF7"/>
                  </stop>
                </gradientFill>
              </fill>
            </x14:dxf>
          </x14:cfRule>
          <xm:sqref>Q68</xm:sqref>
        </x14:conditionalFormatting>
        <x14:conditionalFormatting xmlns:xm="http://schemas.microsoft.com/office/excel/2006/main">
          <x14:cfRule type="expression" priority="44" id="{00000000-000E-0000-0100-00002C000000}">
            <xm:f>数据表!$I$12=1</xm:f>
            <x14:dxf>
              <fill>
                <gradientFill>
                  <stop position="0">
                    <color theme="0"/>
                  </stop>
                  <stop position="1">
                    <color rgb="FFDFECF7"/>
                  </stop>
                </gradientFill>
              </fill>
            </x14:dxf>
          </x14:cfRule>
          <xm:sqref>Q69</xm:sqref>
        </x14:conditionalFormatting>
        <x14:conditionalFormatting xmlns:xm="http://schemas.microsoft.com/office/excel/2006/main">
          <x14:cfRule type="expression" priority="39" id="{00000000-000E-0000-0100-000027000000}">
            <xm:f>数据表!$I$13=1</xm:f>
            <x14:dxf>
              <fill>
                <gradientFill>
                  <stop position="0">
                    <color theme="0"/>
                  </stop>
                  <stop position="1">
                    <color rgb="FFDFECF7"/>
                  </stop>
                </gradientFill>
              </fill>
            </x14:dxf>
          </x14:cfRule>
          <xm:sqref>Q70</xm:sqref>
        </x14:conditionalFormatting>
        <x14:conditionalFormatting xmlns:xm="http://schemas.microsoft.com/office/excel/2006/main">
          <x14:cfRule type="expression" priority="38" id="{00000000-000E-0000-0100-000026000000}">
            <xm:f>数据表!$I$14=1</xm:f>
            <x14:dxf>
              <fill>
                <gradientFill>
                  <stop position="0">
                    <color theme="0"/>
                  </stop>
                  <stop position="1">
                    <color rgb="FFDFECF7"/>
                  </stop>
                </gradientFill>
              </fill>
            </x14:dxf>
          </x14:cfRule>
          <xm:sqref>Q71</xm:sqref>
        </x14:conditionalFormatting>
        <x14:conditionalFormatting xmlns:xm="http://schemas.microsoft.com/office/excel/2006/main">
          <x14:cfRule type="expression" priority="63" id="{00000000-000E-0000-0100-00003F000000}">
            <xm:f>数据表!$I$2=1</xm:f>
            <x14:dxf>
              <fill>
                <gradientFill>
                  <stop position="0">
                    <color theme="0"/>
                  </stop>
                  <stop position="1">
                    <color rgb="FFDFECF7"/>
                  </stop>
                </gradientFill>
              </fill>
            </x14:dxf>
          </x14:cfRule>
          <xm:sqref>Q56:V56</xm:sqref>
        </x14:conditionalFormatting>
        <x14:conditionalFormatting xmlns:xm="http://schemas.microsoft.com/office/excel/2006/main">
          <x14:cfRule type="expression" priority="46" id="{00000000-000E-0000-0100-00002E000000}">
            <xm:f>数据表!$I$10=1</xm:f>
            <x14:dxf>
              <fill>
                <gradientFill>
                  <stop position="0">
                    <color theme="0"/>
                  </stop>
                  <stop position="1">
                    <color rgb="FFDFECF7"/>
                  </stop>
                </gradientFill>
              </fill>
            </x14:dxf>
          </x14:cfRule>
          <xm:sqref>Q67:V71</xm:sqref>
        </x14:conditionalFormatting>
        <x14:conditionalFormatting xmlns:xm="http://schemas.microsoft.com/office/excel/2006/main">
          <x14:cfRule type="expression" priority="53" id="{00000000-000E-0000-0100-000035000000}">
            <xm:f>数据表!$I$21=1</xm:f>
            <x14:dxf>
              <fill>
                <gradientFill>
                  <stop position="0">
                    <color theme="0"/>
                  </stop>
                  <stop position="1">
                    <color rgb="FFDFECF7"/>
                  </stop>
                </gradientFill>
              </fill>
            </x14:dxf>
          </x14:cfRule>
          <xm:sqref>Y57</xm:sqref>
        </x14:conditionalFormatting>
        <x14:conditionalFormatting xmlns:xm="http://schemas.microsoft.com/office/excel/2006/main">
          <x14:cfRule type="expression" priority="52" id="{00000000-000E-0000-0100-000034000000}">
            <xm:f>数据表!$I$22=1</xm:f>
            <x14:dxf>
              <fill>
                <gradientFill>
                  <stop position="0">
                    <color theme="0"/>
                  </stop>
                  <stop position="1">
                    <color rgb="FFDFECF7"/>
                  </stop>
                </gradientFill>
              </fill>
            </x14:dxf>
          </x14:cfRule>
          <xm:sqref>Y58</xm:sqref>
        </x14:conditionalFormatting>
        <x14:conditionalFormatting xmlns:xm="http://schemas.microsoft.com/office/excel/2006/main">
          <x14:cfRule type="expression" priority="51" id="{00000000-000E-0000-0100-000033000000}">
            <xm:f>数据表!$I$23=1</xm:f>
            <x14:dxf>
              <fill>
                <gradientFill>
                  <stop position="0">
                    <color theme="0"/>
                  </stop>
                  <stop position="1">
                    <color rgb="FFDFECF7"/>
                  </stop>
                </gradientFill>
              </fill>
            </x14:dxf>
          </x14:cfRule>
          <xm:sqref>Y59</xm:sqref>
        </x14:conditionalFormatting>
        <x14:conditionalFormatting xmlns:xm="http://schemas.microsoft.com/office/excel/2006/main">
          <x14:cfRule type="expression" priority="50" id="{00000000-000E-0000-0100-000032000000}">
            <xm:f>数据表!$I$24=1</xm:f>
            <x14:dxf>
              <fill>
                <gradientFill>
                  <stop position="0">
                    <color theme="0"/>
                  </stop>
                  <stop position="1">
                    <color rgb="FFDFECF7"/>
                  </stop>
                </gradientFill>
              </fill>
            </x14:dxf>
          </x14:cfRule>
          <xm:sqref>Y60</xm:sqref>
        </x14:conditionalFormatting>
        <x14:conditionalFormatting xmlns:xm="http://schemas.microsoft.com/office/excel/2006/main">
          <x14:cfRule type="expression" priority="49" id="{00000000-000E-0000-0100-000031000000}">
            <xm:f>数据表!$I$25=1</xm:f>
            <x14:dxf>
              <fill>
                <gradientFill>
                  <stop position="0">
                    <color theme="0"/>
                  </stop>
                  <stop position="1">
                    <color rgb="FFDFECF7"/>
                  </stop>
                </gradientFill>
              </fill>
            </x14:dxf>
          </x14:cfRule>
          <xm:sqref>Y61</xm:sqref>
        </x14:conditionalFormatting>
        <x14:conditionalFormatting xmlns:xm="http://schemas.microsoft.com/office/excel/2006/main">
          <x14:cfRule type="expression" priority="48" id="{00000000-000E-0000-0100-000030000000}">
            <xm:f>数据表!$I$26=1</xm:f>
            <x14:dxf>
              <fill>
                <gradientFill>
                  <stop position="0">
                    <color theme="0"/>
                  </stop>
                  <stop position="1">
                    <color rgb="FFDFECF7"/>
                  </stop>
                </gradientFill>
              </fill>
            </x14:dxf>
          </x14:cfRule>
          <xm:sqref>Y62</xm:sqref>
        </x14:conditionalFormatting>
        <x14:conditionalFormatting xmlns:xm="http://schemas.microsoft.com/office/excel/2006/main">
          <x14:cfRule type="expression" priority="47" id="{00000000-000E-0000-0100-00002F000000}">
            <xm:f>数据表!$I$27=1</xm:f>
            <x14:dxf>
              <fill>
                <gradientFill>
                  <stop position="0">
                    <color theme="0"/>
                  </stop>
                  <stop position="1">
                    <color rgb="FFDFECF7"/>
                  </stop>
                </gradientFill>
              </fill>
            </x14:dxf>
          </x14:cfRule>
          <xm:sqref>Y63</xm:sqref>
        </x14:conditionalFormatting>
        <x14:conditionalFormatting xmlns:xm="http://schemas.microsoft.com/office/excel/2006/main">
          <x14:cfRule type="expression" priority="36" id="{00000000-000E-0000-0100-000024000000}">
            <xm:f>数据表!$I$16=1</xm:f>
            <x14:dxf>
              <fill>
                <gradientFill>
                  <stop position="0">
                    <color theme="0"/>
                  </stop>
                  <stop position="1">
                    <color rgb="FFDFECF7"/>
                  </stop>
                </gradientFill>
              </fill>
            </x14:dxf>
          </x14:cfRule>
          <xm:sqref>Y68</xm:sqref>
        </x14:conditionalFormatting>
        <x14:conditionalFormatting xmlns:xm="http://schemas.microsoft.com/office/excel/2006/main">
          <x14:cfRule type="expression" priority="35" id="{00000000-000E-0000-0100-000023000000}">
            <xm:f>数据表!$I$17=1</xm:f>
            <x14:dxf>
              <fill>
                <gradientFill>
                  <stop position="0">
                    <color theme="0"/>
                  </stop>
                  <stop position="1">
                    <color rgb="FFDFECF7"/>
                  </stop>
                </gradientFill>
              </fill>
            </x14:dxf>
          </x14:cfRule>
          <xm:sqref>Y69</xm:sqref>
        </x14:conditionalFormatting>
        <x14:conditionalFormatting xmlns:xm="http://schemas.microsoft.com/office/excel/2006/main">
          <x14:cfRule type="expression" priority="34" id="{00000000-000E-0000-0100-000022000000}">
            <xm:f>数据表!$I$18=1</xm:f>
            <x14:dxf>
              <fill>
                <gradientFill>
                  <stop position="0">
                    <color theme="0"/>
                  </stop>
                  <stop position="1">
                    <color rgb="FFDFECF7"/>
                  </stop>
                </gradientFill>
              </fill>
            </x14:dxf>
          </x14:cfRule>
          <xm:sqref>Y70</xm:sqref>
        </x14:conditionalFormatting>
        <x14:conditionalFormatting xmlns:xm="http://schemas.microsoft.com/office/excel/2006/main">
          <x14:cfRule type="expression" priority="33" id="{00000000-000E-0000-0100-000021000000}">
            <xm:f>数据表!$I$19=1</xm:f>
            <x14:dxf>
              <fill>
                <gradientFill>
                  <stop position="0">
                    <color theme="0"/>
                  </stop>
                  <stop position="1">
                    <color rgb="FFDFECF7"/>
                  </stop>
                </gradientFill>
              </fill>
            </x14:dxf>
          </x14:cfRule>
          <xm:sqref>Y71</xm:sqref>
        </x14:conditionalFormatting>
        <x14:conditionalFormatting xmlns:xm="http://schemas.microsoft.com/office/excel/2006/main">
          <x14:cfRule type="expression" priority="54" id="{00000000-000E-0000-0100-000036000000}">
            <xm:f>数据表!$I$20=1</xm:f>
            <x14:dxf>
              <fill>
                <gradientFill>
                  <stop position="0">
                    <color theme="0"/>
                  </stop>
                  <stop position="1">
                    <color rgb="FFDFECF7"/>
                  </stop>
                </gradientFill>
              </fill>
            </x14:dxf>
          </x14:cfRule>
          <xm:sqref>Y56:AD56</xm:sqref>
        </x14:conditionalFormatting>
        <x14:conditionalFormatting xmlns:xm="http://schemas.microsoft.com/office/excel/2006/main">
          <x14:cfRule type="expression" priority="37" id="{00000000-000E-0000-0100-000025000000}">
            <xm:f>数据表!$I$15=1</xm:f>
            <x14:dxf>
              <fill>
                <gradientFill>
                  <stop position="0">
                    <color theme="0"/>
                  </stop>
                  <stop position="1">
                    <color rgb="FFDFECF7"/>
                  </stop>
                </gradientFill>
              </fill>
            </x14:dxf>
          </x14:cfRule>
          <xm:sqref>Y67:AD67</xm:sqref>
        </x14:conditionalFormatting>
        <x14:conditionalFormatting xmlns:xm="http://schemas.microsoft.com/office/excel/2006/main">
          <x14:cfRule type="expression" priority="31" id="{00000000-000E-0000-0100-00001F000000}">
            <xm:f>数据表!$I$29=1</xm:f>
            <x14:dxf>
              <fill>
                <gradientFill>
                  <stop position="0">
                    <color theme="0"/>
                  </stop>
                  <stop position="1">
                    <color rgb="FFDFECF7"/>
                  </stop>
                </gradientFill>
              </fill>
            </x14:dxf>
          </x14:cfRule>
          <xm:sqref>AG57</xm:sqref>
        </x14:conditionalFormatting>
        <x14:conditionalFormatting xmlns:xm="http://schemas.microsoft.com/office/excel/2006/main">
          <x14:cfRule type="expression" priority="30" id="{00000000-000E-0000-0100-00001E000000}">
            <xm:f>数据表!$I$30=1</xm:f>
            <x14:dxf>
              <fill>
                <gradientFill>
                  <stop position="0">
                    <color theme="0"/>
                  </stop>
                  <stop position="1">
                    <color rgb="FFDFECF7"/>
                  </stop>
                </gradientFill>
              </fill>
            </x14:dxf>
          </x14:cfRule>
          <xm:sqref>AG58</xm:sqref>
        </x14:conditionalFormatting>
        <x14:conditionalFormatting xmlns:xm="http://schemas.microsoft.com/office/excel/2006/main">
          <x14:cfRule type="expression" priority="29" id="{00000000-000E-0000-0100-00001D000000}">
            <xm:f>数据表!$I$31=1</xm:f>
            <x14:dxf>
              <fill>
                <gradientFill>
                  <stop position="0">
                    <color theme="0"/>
                  </stop>
                  <stop position="1">
                    <color rgb="FFDFECF7"/>
                  </stop>
                </gradientFill>
              </fill>
            </x14:dxf>
          </x14:cfRule>
          <xm:sqref>AG59</xm:sqref>
        </x14:conditionalFormatting>
        <x14:conditionalFormatting xmlns:xm="http://schemas.microsoft.com/office/excel/2006/main">
          <x14:cfRule type="expression" priority="28" id="{00000000-000E-0000-0100-00001C000000}">
            <xm:f>数据表!$I$32=1</xm:f>
            <x14:dxf>
              <fill>
                <gradientFill>
                  <stop position="0">
                    <color theme="0"/>
                  </stop>
                  <stop position="1">
                    <color rgb="FFDFECF7"/>
                  </stop>
                </gradientFill>
              </fill>
            </x14:dxf>
          </x14:cfRule>
          <xm:sqref>AG60</xm:sqref>
        </x14:conditionalFormatting>
        <x14:conditionalFormatting xmlns:xm="http://schemas.microsoft.com/office/excel/2006/main">
          <x14:cfRule type="expression" priority="27" id="{00000000-000E-0000-0100-00001B000000}">
            <xm:f>数据表!$I$33=1</xm:f>
            <x14:dxf>
              <fill>
                <gradientFill>
                  <stop position="0">
                    <color theme="0"/>
                  </stop>
                  <stop position="1">
                    <color rgb="FFDFECF7"/>
                  </stop>
                </gradientFill>
              </fill>
            </x14:dxf>
          </x14:cfRule>
          <xm:sqref>AG61</xm:sqref>
        </x14:conditionalFormatting>
        <x14:conditionalFormatting xmlns:xm="http://schemas.microsoft.com/office/excel/2006/main">
          <x14:cfRule type="expression" priority="26" id="{00000000-000E-0000-0100-00001A000000}">
            <xm:f>数据表!$I$34=1</xm:f>
            <x14:dxf>
              <fill>
                <gradientFill>
                  <stop position="0">
                    <color theme="0"/>
                  </stop>
                  <stop position="1">
                    <color rgb="FFDFECF7"/>
                  </stop>
                </gradientFill>
              </fill>
            </x14:dxf>
          </x14:cfRule>
          <xm:sqref>AG62</xm:sqref>
        </x14:conditionalFormatting>
        <x14:conditionalFormatting xmlns:xm="http://schemas.microsoft.com/office/excel/2006/main">
          <x14:cfRule type="expression" priority="25" id="{00000000-000E-0000-0100-000019000000}">
            <xm:f>数据表!$I$35=1</xm:f>
            <x14:dxf>
              <fill>
                <gradientFill>
                  <stop position="0">
                    <color theme="0"/>
                  </stop>
                  <stop position="1">
                    <color rgb="FFDFECF7"/>
                  </stop>
                </gradientFill>
              </fill>
            </x14:dxf>
          </x14:cfRule>
          <xm:sqref>AG63</xm:sqref>
        </x14:conditionalFormatting>
        <x14:conditionalFormatting xmlns:xm="http://schemas.microsoft.com/office/excel/2006/main">
          <x14:cfRule type="expression" priority="24" id="{00000000-000E-0000-0100-000018000000}">
            <xm:f>数据表!$I$36=1</xm:f>
            <x14:dxf>
              <fill>
                <gradientFill>
                  <stop position="0">
                    <color theme="0"/>
                  </stop>
                  <stop position="1">
                    <color rgb="FFDFECF7"/>
                  </stop>
                </gradientFill>
              </fill>
            </x14:dxf>
          </x14:cfRule>
          <xm:sqref>AG64</xm:sqref>
        </x14:conditionalFormatting>
        <x14:conditionalFormatting xmlns:xm="http://schemas.microsoft.com/office/excel/2006/main">
          <x14:cfRule type="expression" priority="23" id="{00000000-000E-0000-0100-000017000000}">
            <xm:f>数据表!$I$37=1</xm:f>
            <x14:dxf>
              <fill>
                <gradientFill>
                  <stop position="0">
                    <color theme="0"/>
                  </stop>
                  <stop position="1">
                    <color rgb="FFDFECF7"/>
                  </stop>
                </gradientFill>
              </fill>
            </x14:dxf>
          </x14:cfRule>
          <xm:sqref>AG65</xm:sqref>
        </x14:conditionalFormatting>
        <x14:conditionalFormatting xmlns:xm="http://schemas.microsoft.com/office/excel/2006/main">
          <x14:cfRule type="expression" priority="22" id="{00000000-000E-0000-0100-000016000000}">
            <xm:f>数据表!$I$38=1</xm:f>
            <x14:dxf>
              <fill>
                <gradientFill>
                  <stop position="0">
                    <color theme="0"/>
                  </stop>
                  <stop position="1">
                    <color rgb="FFDFECF7"/>
                  </stop>
                </gradientFill>
              </fill>
            </x14:dxf>
          </x14:cfRule>
          <xm:sqref>AG66</xm:sqref>
        </x14:conditionalFormatting>
        <x14:conditionalFormatting xmlns:xm="http://schemas.microsoft.com/office/excel/2006/main">
          <x14:cfRule type="expression" priority="21" id="{00000000-000E-0000-0100-000015000000}">
            <xm:f>数据表!$I$39=1</xm:f>
            <x14:dxf>
              <fill>
                <gradientFill>
                  <stop position="0">
                    <color theme="0"/>
                  </stop>
                  <stop position="1">
                    <color rgb="FFDFECF7"/>
                  </stop>
                </gradientFill>
              </fill>
            </x14:dxf>
          </x14:cfRule>
          <xm:sqref>AG67</xm:sqref>
        </x14:conditionalFormatting>
        <x14:conditionalFormatting xmlns:xm="http://schemas.microsoft.com/office/excel/2006/main">
          <x14:cfRule type="expression" priority="20" id="{00000000-000E-0000-0100-000014000000}">
            <xm:f>数据表!$I$40=1</xm:f>
            <x14:dxf>
              <fill>
                <gradientFill>
                  <stop position="0">
                    <color theme="0"/>
                  </stop>
                  <stop position="1">
                    <color rgb="FFDFECF7"/>
                  </stop>
                </gradientFill>
              </fill>
            </x14:dxf>
          </x14:cfRule>
          <xm:sqref>AG68</xm:sqref>
        </x14:conditionalFormatting>
        <x14:conditionalFormatting xmlns:xm="http://schemas.microsoft.com/office/excel/2006/main">
          <x14:cfRule type="expression" priority="19" id="{00000000-000E-0000-0100-000013000000}">
            <xm:f>数据表!$I$41=1</xm:f>
            <x14:dxf>
              <fill>
                <gradientFill>
                  <stop position="0">
                    <color theme="0"/>
                  </stop>
                  <stop position="1">
                    <color rgb="FFDFECF7"/>
                  </stop>
                </gradientFill>
              </fill>
            </x14:dxf>
          </x14:cfRule>
          <xm:sqref>AG69</xm:sqref>
        </x14:conditionalFormatting>
        <x14:conditionalFormatting xmlns:xm="http://schemas.microsoft.com/office/excel/2006/main">
          <x14:cfRule type="expression" priority="18" id="{00000000-000E-0000-0100-000012000000}">
            <xm:f>数据表!$I$42=1</xm:f>
            <x14:dxf>
              <fill>
                <gradientFill>
                  <stop position="0">
                    <color theme="0"/>
                  </stop>
                  <stop position="1">
                    <color rgb="FFDFECF7"/>
                  </stop>
                </gradientFill>
              </fill>
            </x14:dxf>
          </x14:cfRule>
          <xm:sqref>AG70</xm:sqref>
        </x14:conditionalFormatting>
        <x14:conditionalFormatting xmlns:xm="http://schemas.microsoft.com/office/excel/2006/main">
          <x14:cfRule type="expression" priority="17" id="{00000000-000E-0000-0100-000011000000}">
            <xm:f>数据表!$I$43=1</xm:f>
            <x14:dxf>
              <fill>
                <gradientFill>
                  <stop position="0">
                    <color theme="0"/>
                  </stop>
                  <stop position="1">
                    <color rgb="FFDFECF7"/>
                  </stop>
                </gradientFill>
              </fill>
            </x14:dxf>
          </x14:cfRule>
          <xm:sqref>AG71</xm:sqref>
        </x14:conditionalFormatting>
        <x14:conditionalFormatting xmlns:xm="http://schemas.microsoft.com/office/excel/2006/main">
          <x14:cfRule type="expression" priority="32" id="{00000000-000E-0000-0100-000020000000}">
            <xm:f>数据表!$I$28=1</xm:f>
            <x14:dxf>
              <fill>
                <gradientFill>
                  <stop position="0">
                    <color theme="0"/>
                  </stop>
                  <stop position="1">
                    <color rgb="FFDFECF7"/>
                  </stop>
                </gradientFill>
              </fill>
            </x14:dxf>
          </x14:cfRule>
          <xm:sqref>AG56:AL56</xm:sqref>
        </x14:conditionalFormatting>
        <x14:conditionalFormatting xmlns:xm="http://schemas.microsoft.com/office/excel/2006/main">
          <x14:cfRule type="expression" priority="15" id="{00000000-000E-0000-0100-00000F000000}">
            <xm:f>数据表!$I$45=1</xm:f>
            <x14:dxf>
              <fill>
                <gradientFill>
                  <stop position="0">
                    <color theme="0"/>
                  </stop>
                  <stop position="1">
                    <color rgb="FFDFECF7"/>
                  </stop>
                </gradientFill>
              </fill>
            </x14:dxf>
          </x14:cfRule>
          <xm:sqref>AO57</xm:sqref>
        </x14:conditionalFormatting>
        <x14:conditionalFormatting xmlns:xm="http://schemas.microsoft.com/office/excel/2006/main">
          <x14:cfRule type="expression" priority="14" id="{00000000-000E-0000-0100-00000E000000}">
            <xm:f>数据表!$I$46=1</xm:f>
            <x14:dxf>
              <fill>
                <gradientFill>
                  <stop position="0">
                    <color theme="0"/>
                  </stop>
                  <stop position="1">
                    <color rgb="FFDFECF7"/>
                  </stop>
                </gradientFill>
              </fill>
            </x14:dxf>
          </x14:cfRule>
          <xm:sqref>AO58</xm:sqref>
        </x14:conditionalFormatting>
        <x14:conditionalFormatting xmlns:xm="http://schemas.microsoft.com/office/excel/2006/main">
          <x14:cfRule type="expression" priority="13" id="{00000000-000E-0000-0100-00000D000000}">
            <xm:f>数据表!$I$47=1</xm:f>
            <x14:dxf>
              <fill>
                <gradientFill>
                  <stop position="0">
                    <color theme="0"/>
                  </stop>
                  <stop position="1">
                    <color rgb="FFDFECF7"/>
                  </stop>
                </gradientFill>
              </fill>
            </x14:dxf>
          </x14:cfRule>
          <xm:sqref>AO59</xm:sqref>
        </x14:conditionalFormatting>
        <x14:conditionalFormatting xmlns:xm="http://schemas.microsoft.com/office/excel/2006/main">
          <x14:cfRule type="expression" priority="12" id="{00000000-000E-0000-0100-00000C000000}">
            <xm:f>数据表!$I$48=1</xm:f>
            <x14:dxf>
              <fill>
                <gradientFill>
                  <stop position="0">
                    <color theme="0"/>
                  </stop>
                  <stop position="1">
                    <color rgb="FFDFECF7"/>
                  </stop>
                </gradientFill>
              </fill>
            </x14:dxf>
          </x14:cfRule>
          <xm:sqref>AO60</xm:sqref>
        </x14:conditionalFormatting>
        <x14:conditionalFormatting xmlns:xm="http://schemas.microsoft.com/office/excel/2006/main">
          <x14:cfRule type="expression" priority="11" id="{00000000-000E-0000-0100-00000B000000}">
            <xm:f>数据表!$I$49=1</xm:f>
            <x14:dxf>
              <fill>
                <gradientFill>
                  <stop position="0">
                    <color theme="0"/>
                  </stop>
                  <stop position="1">
                    <color rgb="FFDFECF7"/>
                  </stop>
                </gradientFill>
              </fill>
            </x14:dxf>
          </x14:cfRule>
          <xm:sqref>AO61</xm:sqref>
        </x14:conditionalFormatting>
        <x14:conditionalFormatting xmlns:xm="http://schemas.microsoft.com/office/excel/2006/main">
          <x14:cfRule type="expression" priority="10" id="{00000000-000E-0000-0100-00000A000000}">
            <xm:f>数据表!$I$50=1</xm:f>
            <x14:dxf>
              <fill>
                <gradientFill>
                  <stop position="0">
                    <color theme="0"/>
                  </stop>
                  <stop position="1">
                    <color rgb="FFDFECF7"/>
                  </stop>
                </gradientFill>
              </fill>
            </x14:dxf>
          </x14:cfRule>
          <xm:sqref>AO62</xm:sqref>
        </x14:conditionalFormatting>
        <x14:conditionalFormatting xmlns:xm="http://schemas.microsoft.com/office/excel/2006/main">
          <x14:cfRule type="expression" priority="9" id="{00000000-000E-0000-0100-000009000000}">
            <xm:f>数据表!$I$51=1</xm:f>
            <x14:dxf>
              <fill>
                <gradientFill>
                  <stop position="0">
                    <color theme="0"/>
                  </stop>
                  <stop position="1">
                    <color rgb="FFDFECF7"/>
                  </stop>
                </gradientFill>
              </fill>
            </x14:dxf>
          </x14:cfRule>
          <xm:sqref>AO63</xm:sqref>
        </x14:conditionalFormatting>
        <x14:conditionalFormatting xmlns:xm="http://schemas.microsoft.com/office/excel/2006/main">
          <x14:cfRule type="expression" priority="8" id="{00000000-000E-0000-0100-000008000000}">
            <xm:f>数据表!$I$52=1</xm:f>
            <x14:dxf>
              <fill>
                <gradientFill>
                  <stop position="0">
                    <color theme="0"/>
                  </stop>
                  <stop position="1">
                    <color rgb="FFDFECF7"/>
                  </stop>
                </gradientFill>
              </fill>
            </x14:dxf>
          </x14:cfRule>
          <xm:sqref>AO64</xm:sqref>
        </x14:conditionalFormatting>
        <x14:conditionalFormatting xmlns:xm="http://schemas.microsoft.com/office/excel/2006/main">
          <x14:cfRule type="expression" priority="7" id="{00000000-000E-0000-0100-000007000000}">
            <xm:f>数据表!$I$53=1</xm:f>
            <x14:dxf>
              <fill>
                <gradientFill>
                  <stop position="0">
                    <color theme="0"/>
                  </stop>
                  <stop position="1">
                    <color rgb="FFDFECF7"/>
                  </stop>
                </gradientFill>
              </fill>
            </x14:dxf>
          </x14:cfRule>
          <xm:sqref>AO65</xm:sqref>
        </x14:conditionalFormatting>
        <x14:conditionalFormatting xmlns:xm="http://schemas.microsoft.com/office/excel/2006/main">
          <x14:cfRule type="expression" priority="6" id="{00000000-000E-0000-0100-000006000000}">
            <xm:f>数据表!$I$54=1</xm:f>
            <x14:dxf>
              <fill>
                <gradientFill>
                  <stop position="0">
                    <color theme="0"/>
                  </stop>
                  <stop position="1">
                    <color rgb="FFDFECF7"/>
                  </stop>
                </gradientFill>
              </fill>
            </x14:dxf>
          </x14:cfRule>
          <xm:sqref>AO66</xm:sqref>
        </x14:conditionalFormatting>
        <x14:conditionalFormatting xmlns:xm="http://schemas.microsoft.com/office/excel/2006/main">
          <x14:cfRule type="expression" priority="5" id="{00000000-000E-0000-0100-000005000000}">
            <xm:f>数据表!$I$55=1</xm:f>
            <x14:dxf>
              <fill>
                <gradientFill>
                  <stop position="0">
                    <color theme="0"/>
                  </stop>
                  <stop position="1">
                    <color rgb="FFDFECF7"/>
                  </stop>
                </gradientFill>
              </fill>
            </x14:dxf>
          </x14:cfRule>
          <xm:sqref>AO67</xm:sqref>
        </x14:conditionalFormatting>
        <x14:conditionalFormatting xmlns:xm="http://schemas.microsoft.com/office/excel/2006/main">
          <x14:cfRule type="expression" priority="4" id="{00000000-000E-0000-0100-000004000000}">
            <xm:f>数据表!$I$56=1</xm:f>
            <x14:dxf>
              <fill>
                <gradientFill>
                  <stop position="0">
                    <color theme="0"/>
                  </stop>
                  <stop position="1">
                    <color rgb="FFDFECF7"/>
                  </stop>
                </gradientFill>
              </fill>
            </x14:dxf>
          </x14:cfRule>
          <xm:sqref>AO68</xm:sqref>
        </x14:conditionalFormatting>
        <x14:conditionalFormatting xmlns:xm="http://schemas.microsoft.com/office/excel/2006/main">
          <x14:cfRule type="expression" priority="3" id="{00000000-000E-0000-0100-000003000000}">
            <xm:f>数据表!$I$57=1</xm:f>
            <x14:dxf>
              <fill>
                <gradientFill>
                  <stop position="0">
                    <color theme="0"/>
                  </stop>
                  <stop position="1">
                    <color rgb="FFDFECF7"/>
                  </stop>
                </gradientFill>
              </fill>
            </x14:dxf>
          </x14:cfRule>
          <xm:sqref>AO69</xm:sqref>
        </x14:conditionalFormatting>
        <x14:conditionalFormatting xmlns:xm="http://schemas.microsoft.com/office/excel/2006/main">
          <x14:cfRule type="expression" priority="2" id="{00000000-000E-0000-0100-000002000000}">
            <xm:f>数据表!$I$58=1</xm:f>
            <x14:dxf>
              <fill>
                <gradientFill>
                  <stop position="0">
                    <color theme="0"/>
                  </stop>
                  <stop position="1">
                    <color rgb="FFDFECF7"/>
                  </stop>
                </gradientFill>
              </fill>
            </x14:dxf>
          </x14:cfRule>
          <xm:sqref>AO70</xm:sqref>
        </x14:conditionalFormatting>
        <x14:conditionalFormatting xmlns:xm="http://schemas.microsoft.com/office/excel/2006/main">
          <x14:cfRule type="expression" priority="1" id="{00000000-000E-0000-0100-000001000000}">
            <xm:f>数据表!$I$59=1</xm:f>
            <x14:dxf>
              <fill>
                <gradientFill>
                  <stop position="0">
                    <color theme="0"/>
                  </stop>
                  <stop position="1">
                    <color rgb="FFDFECF7"/>
                  </stop>
                </gradientFill>
              </fill>
            </x14:dxf>
          </x14:cfRule>
          <xm:sqref>AO71</xm:sqref>
        </x14:conditionalFormatting>
        <x14:conditionalFormatting xmlns:xm="http://schemas.microsoft.com/office/excel/2006/main">
          <x14:cfRule type="expression" priority="16" id="{00000000-000E-0000-0100-000010000000}">
            <xm:f>数据表!$I$44=1</xm:f>
            <x14:dxf>
              <fill>
                <gradientFill>
                  <stop position="0">
                    <color theme="0"/>
                  </stop>
                  <stop position="1">
                    <color rgb="FFDFECF7"/>
                  </stop>
                </gradientFill>
              </fill>
            </x14:dxf>
          </x14:cfRule>
          <xm:sqref>AO56:AT56</xm:sqref>
        </x14:conditionalFormatting>
      </x14:conditionalFormattings>
    </ext>
    <ext xmlns:x14="http://schemas.microsoft.com/office/spreadsheetml/2009/9/main" uri="{CCE6A557-97BC-4b89-ADB6-D9C93CAAB3DF}">
      <x14:dataValidations xmlns:xm="http://schemas.microsoft.com/office/excel/2006/main" count="43">
        <x14:dataValidation type="list" allowBlank="1" showInputMessage="1" xr:uid="{00000000-0002-0000-0100-000001000000}">
          <x14:formula1>
            <xm:f>种族!$AL$2</xm:f>
          </x14:formula1>
          <xm:sqref>BZ3:CO3</xm:sqref>
        </x14:dataValidation>
        <x14:dataValidation type="list" allowBlank="1" showInputMessage="1" xr:uid="{00000000-0002-0000-0100-000002000000}">
          <x14:formula1>
            <xm:f>种族!$AL$3</xm:f>
          </x14:formula1>
          <xm:sqref>BZ4:CO4</xm:sqref>
        </x14:dataValidation>
        <x14:dataValidation type="list" allowBlank="1" showInputMessage="1" xr:uid="{00000000-0002-0000-0100-000003000000}">
          <x14:formula1>
            <xm:f>种族!$AL$4</xm:f>
          </x14:formula1>
          <xm:sqref>BZ5:CO5</xm:sqref>
        </x14:dataValidation>
        <x14:dataValidation type="list" allowBlank="1" showInputMessage="1" xr:uid="{00000000-0002-0000-0100-000004000000}">
          <x14:formula1>
            <xm:f>OFFSET(职业!$U$2,,,SUMPRODUCT(N(LEN(职业!$U$2:$U$17)&gt;0)),)</xm:f>
          </x14:formula1>
          <xm:sqref>I6:N6</xm:sqref>
        </x14:dataValidation>
        <x14:dataValidation type="list" allowBlank="1" showInputMessage="1" xr:uid="{00000000-0002-0000-0100-000005000000}">
          <x14:formula1>
            <xm:f>OFFSET(种族!$J$2,,,SUMPRODUCT(N(LEN(种族!$J$2:$J$51)&gt;0)),)</xm:f>
          </x14:formula1>
          <xm:sqref>T6</xm:sqref>
        </x14:dataValidation>
        <x14:dataValidation type="list" allowBlank="1" showInputMessage="1" xr:uid="{00000000-0002-0000-0100-000006000000}">
          <x14:formula1>
            <xm:f>种族!$AL$5</xm:f>
          </x14:formula1>
          <xm:sqref>BZ6:CO6</xm:sqref>
        </x14:dataValidation>
        <x14:dataValidation type="list" allowBlank="1" showInputMessage="1" xr:uid="{00000000-0002-0000-0100-000007000000}">
          <x14:formula1>
            <xm:f>OFFSET(职业!$W$2,,,SUMPRODUCT(N(LEN(职业!$W$2:$W$17)&gt;0)),)</xm:f>
          </x14:formula1>
          <xm:sqref>I7:N7</xm:sqref>
        </x14:dataValidation>
        <x14:dataValidation type="list" allowBlank="1" showInputMessage="1" xr:uid="{00000000-0002-0000-0100-000008000000}">
          <x14:formula1>
            <xm:f>OFFSET(种族!$AD$2,,,SUMPRODUCT(N(LEN(种族!$AD$2:$AD$15)&gt;0)),)</xm:f>
          </x14:formula1>
          <xm:sqref>T7</xm:sqref>
        </x14:dataValidation>
        <x14:dataValidation type="list" allowBlank="1" showInputMessage="1" xr:uid="{00000000-0002-0000-0100-000009000000}">
          <x14:formula1>
            <xm:f>种族!$AL$6</xm:f>
          </x14:formula1>
          <xm:sqref>BZ7:CO7</xm:sqref>
        </x14:dataValidation>
        <x14:dataValidation type="list" allowBlank="1" showInputMessage="1" xr:uid="{00000000-0002-0000-0100-00000A000000}">
          <x14:formula1>
            <xm:f>OFFSET(职业!$Y$2,,,SUMPRODUCT(N(LEN(职业!$Y$2:$Y$17)&gt;0)),)</xm:f>
          </x14:formula1>
          <xm:sqref>I8:N8</xm:sqref>
        </x14:dataValidation>
        <x14:dataValidation type="list" allowBlank="1" showInputMessage="1" xr:uid="{00000000-0002-0000-0100-00000C000000}">
          <x14:formula1>
            <xm:f>种族!$AL$7</xm:f>
          </x14:formula1>
          <xm:sqref>BZ8:CO8</xm:sqref>
        </x14:dataValidation>
        <x14:dataValidation type="list" allowBlank="1" showInputMessage="1" xr:uid="{00000000-0002-0000-0100-00000D000000}">
          <x14:formula1>
            <xm:f>OFFSET(职业!$B$3,,,SUMPRODUCT(N(LEN(职业!$B$3:$B$22)&gt;0)),)</xm:f>
          </x14:formula1>
          <xm:sqref>AW9:BB9 E6:H8</xm:sqref>
        </x14:dataValidation>
        <x14:dataValidation type="list" allowBlank="1" showInputMessage="1" prompt="该表格整合收录了部分拓展职业，如果要使用拓展职业请先咨询下你家的DM哦~_x000a_" xr:uid="{00000000-0002-0000-0100-00000E000000}">
          <x14:formula1>
            <xm:f>OFFSET(职业!$AA$2,,,SUMPRODUCT(N(LEN(职业!$AA$2:$AA$17)&gt;0)),)</xm:f>
          </x14:formula1>
          <xm:sqref>BD9:BI9</xm:sqref>
        </x14:dataValidation>
        <x14:dataValidation type="list" allowBlank="1" showInputMessage="1" xr:uid="{00000000-0002-0000-0100-00000F000000}">
          <x14:formula1>
            <xm:f>种族!$AL$8</xm:f>
          </x14:formula1>
          <xm:sqref>BZ9:CO9</xm:sqref>
        </x14:dataValidation>
        <x14:dataValidation type="list" allowBlank="1" showInputMessage="1" xr:uid="{00000000-0002-0000-0100-000010000000}">
          <x14:formula1>
            <xm:f>种族!$AL$9</xm:f>
          </x14:formula1>
          <xm:sqref>BZ10:CO10</xm:sqref>
        </x14:dataValidation>
        <x14:dataValidation type="list" allowBlank="1" showInputMessage="1" xr:uid="{00000000-0002-0000-0100-000011000000}">
          <x14:formula1>
            <xm:f>种族!$AL$10</xm:f>
          </x14:formula1>
          <xm:sqref>BZ11:CO11</xm:sqref>
        </x14:dataValidation>
        <x14:dataValidation type="list" allowBlank="1" showInputMessage="1" xr:uid="{00000000-0002-0000-0100-000013000000}">
          <x14:formula1>
            <xm:f>数据表!$CF$16:$CF$21</xm:f>
          </x14:formula1>
          <xm:sqref>N25</xm:sqref>
        </x14:dataValidation>
        <x14:dataValidation type="list" allowBlank="1" showInputMessage="1" xr:uid="{00000000-0002-0000-0100-000018000000}">
          <x14:formula1>
            <xm:f>装备!$AA$21</xm:f>
          </x14:formula1>
          <xm:sqref>U31:Z31</xm:sqref>
        </x14:dataValidation>
        <x14:dataValidation type="list" allowBlank="1" showInputMessage="1" xr:uid="{00000000-0002-0000-0100-00001A000000}">
          <x14:formula1>
            <xm:f>专长!$P$4</xm:f>
          </x14:formula1>
          <xm:sqref>BZ33:CO33</xm:sqref>
        </x14:dataValidation>
        <x14:dataValidation type="list" allowBlank="1" showInputMessage="1" xr:uid="{00000000-0002-0000-0100-00001C000000}">
          <x14:formula1>
            <xm:f>专长!$P$5</xm:f>
          </x14:formula1>
          <xm:sqref>BZ34:CO34</xm:sqref>
        </x14:dataValidation>
        <x14:dataValidation type="list" allowBlank="1" showInputMessage="1" xr:uid="{00000000-0002-0000-0100-00001E000000}">
          <x14:formula1>
            <xm:f>专长!$P$6</xm:f>
          </x14:formula1>
          <xm:sqref>BZ35:CO35</xm:sqref>
        </x14:dataValidation>
        <x14:dataValidation type="list" allowBlank="1" showInputMessage="1" xr:uid="{00000000-0002-0000-0100-000020000000}">
          <x14:formula1>
            <xm:f>专长!$P$7</xm:f>
          </x14:formula1>
          <xm:sqref>BZ36:CO36</xm:sqref>
        </x14:dataValidation>
        <x14:dataValidation type="list" allowBlank="1" showInputMessage="1" showErrorMessage="1" xr:uid="{00000000-0002-0000-0100-000023000000}">
          <x14:formula1>
            <xm:f>数据表!$N$12:$N$14</xm:f>
          </x14:formula1>
          <xm:sqref>B60:E60</xm:sqref>
        </x14:dataValidation>
        <x14:dataValidation type="list" allowBlank="1" showInputMessage="1" xr:uid="{00000000-0002-0000-0100-000024000000}">
          <x14:formula1>
            <xm:f>数据表!$H$2:$H$59</xm:f>
          </x14:formula1>
          <xm:sqref>B75:G75</xm:sqref>
        </x14:dataValidation>
        <x14:dataValidation type="list" allowBlank="1" showInputMessage="1" xr:uid="{00000000-0002-0000-0100-000029000000}">
          <x14:formula1>
            <xm:f>OFFSET(种族!$AJ$2,,,SUMPRODUCT(N(LEN(种族!$AJ$2:$AJ$17)&gt;0)),)</xm:f>
          </x14:formula1>
          <xm:sqref>BT3:BY15</xm:sqref>
        </x14:dataValidation>
        <x14:dataValidation type="list" allowBlank="1" showInputMessage="1" xr:uid="{00000000-0002-0000-0100-00002A000000}">
          <x14:formula1>
            <xm:f>OFFSET(职业!$BS$2,,,SUMPRODUCT(N(LEN(职业!$BS$2:$BS$101)&gt;0)))</xm:f>
          </x14:formula1>
          <xm:sqref>AX11:BB67</xm:sqref>
        </x14:dataValidation>
        <x14:dataValidation type="list" allowBlank="1" showInputMessage="1" xr:uid="{00000000-0002-0000-0100-00002D000000}">
          <x14:formula1>
            <xm:f>装备!$E$10:$E$33</xm:f>
          </x14:formula1>
          <xm:sqref>L39:M47</xm:sqref>
        </x14:dataValidation>
        <x14:dataValidation type="list" allowBlank="1" showInputMessage="1" xr:uid="{00000000-0002-0000-0100-00002E000000}">
          <x14:formula1>
            <xm:f>专长!$E$4:$E$96</xm:f>
          </x14:formula1>
          <xm:sqref>BU19:BY29</xm:sqref>
        </x14:dataValidation>
        <x14:dataValidation type="list" allowBlank="1" showInputMessage="1" xr:uid="{00000000-0002-0000-0100-00002F000000}">
          <x14:formula1>
            <xm:f>数据表!$F$2:$F$201</xm:f>
          </x14:formula1>
          <xm:sqref>Q56:V63 Q67:V71 Y56:AD63 Y67:AD71 AG56:AL71 AO56:AT71</xm:sqref>
        </x14:dataValidation>
        <x14:dataValidation type="list" allowBlank="1" showInputMessage="1" xr:uid="{00000000-0002-0000-0100-000030000000}">
          <x14:formula1>
            <xm:f>专长!$H$4:$H$15</xm:f>
          </x14:formula1>
          <xm:sqref>BT33:BY36</xm:sqref>
        </x14:dataValidation>
        <x14:dataValidation type="list" allowBlank="1" showInputMessage="1" xr:uid="{E2DA45E8-DE32-4D1B-94A7-07823621D95E}">
          <x14:formula1>
            <xm:f>装备!$J$3:$J$44</xm:f>
          </x14:formula1>
          <xm:sqref>L33:N37</xm:sqref>
        </x14:dataValidation>
        <x14:dataValidation type="list" allowBlank="1" showInputMessage="1" xr:uid="{0634294C-DC93-4F4C-BFBB-ADE7AFFBE21F}">
          <x14:formula1>
            <xm:f>种族!$AL$11</xm:f>
          </x14:formula1>
          <xm:sqref>BZ12:CO12</xm:sqref>
        </x14:dataValidation>
        <x14:dataValidation type="list" allowBlank="1" showInputMessage="1" xr:uid="{D771791E-D61F-4402-AAB1-5B503678ECB0}">
          <x14:formula1>
            <xm:f>种族!$AL$12</xm:f>
          </x14:formula1>
          <xm:sqref>BZ13:CO13</xm:sqref>
        </x14:dataValidation>
        <x14:dataValidation type="list" allowBlank="1" showInputMessage="1" xr:uid="{425664C6-1496-4E5C-ACFF-F49D6DB62EFF}">
          <x14:formula1>
            <xm:f>种族!$AL$13</xm:f>
          </x14:formula1>
          <xm:sqref>BZ14:CO14</xm:sqref>
        </x14:dataValidation>
        <x14:dataValidation type="list" allowBlank="1" showInputMessage="1" xr:uid="{0E9985BC-C3A3-4154-84C3-515F04FB09B1}">
          <x14:formula1>
            <xm:f>种族!$AL$14</xm:f>
          </x14:formula1>
          <xm:sqref>BZ15:CO15</xm:sqref>
        </x14:dataValidation>
        <x14:dataValidation type="list" allowBlank="1" showInputMessage="1" xr:uid="{8DEE9115-D799-4DC5-B45B-0CEA46AD3BFA}">
          <x14:formula1>
            <xm:f>装备!$S$2</xm:f>
          </x14:formula1>
          <xm:sqref>U33:AB33</xm:sqref>
        </x14:dataValidation>
        <x14:dataValidation type="list" allowBlank="1" showInputMessage="1" xr:uid="{9BD623FA-1E70-4280-9192-A9AB06D1C051}">
          <x14:formula1>
            <xm:f>装备!$S$3</xm:f>
          </x14:formula1>
          <xm:sqref>U34:AB34</xm:sqref>
        </x14:dataValidation>
        <x14:dataValidation type="list" allowBlank="1" showInputMessage="1" xr:uid="{D63CF089-952B-48D2-B984-87460FB89917}">
          <x14:formula1>
            <xm:f>装备!$S$4</xm:f>
          </x14:formula1>
          <xm:sqref>U35:AB35</xm:sqref>
        </x14:dataValidation>
        <x14:dataValidation type="list" allowBlank="1" showInputMessage="1" xr:uid="{D2D874DE-9DF2-405F-9C93-8F915BE37845}">
          <x14:formula1>
            <xm:f>装备!$S$5</xm:f>
          </x14:formula1>
          <xm:sqref>U36:AB36</xm:sqref>
        </x14:dataValidation>
        <x14:dataValidation type="list" allowBlank="1" showInputMessage="1" xr:uid="{5D001303-AA20-4F81-8F53-4D97C19FFBA8}">
          <x14:formula1>
            <xm:f>装备!$S$6</xm:f>
          </x14:formula1>
          <xm:sqref>U37:AB37</xm:sqref>
        </x14:dataValidation>
        <x14:dataValidation type="list" allowBlank="1" showInputMessage="1" xr:uid="{00000000-0002-0000-0100-000017000000}">
          <x14:formula1>
            <xm:f>装备!$R$22:$R$42</xm:f>
          </x14:formula1>
          <xm:sqref>L31:N31</xm:sqref>
        </x14:dataValidation>
        <x14:dataValidation type="list" allowBlank="1" showInputMessage="1" xr:uid="{00000000-0002-0000-0100-000027000000}">
          <x14:formula1>
            <xm:f>专长!$M4</xm:f>
          </x14:formula1>
          <xm:sqref>BZ19:CO29</xm:sqref>
        </x14:dataValidation>
        <x14:dataValidation type="list" allowBlank="1" showInputMessage="1" xr:uid="{00000000-0002-0000-0100-000031000000}">
          <x14:formula1>
            <xm:f>职业!$BV2</xm:f>
          </x14:formula1>
          <xm:sqref>BC11:BR67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J363"/>
  <sheetViews>
    <sheetView zoomScale="70" zoomScaleNormal="70" workbookViewId="0">
      <selection activeCell="AA20" sqref="AA20"/>
    </sheetView>
  </sheetViews>
  <sheetFormatPr defaultColWidth="9" defaultRowHeight="16.5" customHeight="1" x14ac:dyDescent="0.25"/>
  <cols>
    <col min="1" max="1" width="3.77734375" style="239" customWidth="1"/>
    <col min="2" max="2" width="9.77734375" style="240" customWidth="1"/>
    <col min="3" max="4" width="3.77734375" style="240" customWidth="1"/>
    <col min="5" max="5" width="3.77734375" style="239" customWidth="1"/>
    <col min="6" max="6" width="9.77734375" style="240" customWidth="1"/>
    <col min="7" max="7" width="7.33203125" style="240" customWidth="1"/>
    <col min="8" max="8" width="9" style="240"/>
    <col min="9" max="10" width="3.77734375" style="240" customWidth="1"/>
    <col min="11" max="14" width="9" style="240"/>
    <col min="15" max="35" width="5.33203125" style="240" customWidth="1"/>
    <col min="36" max="36" width="5.33203125" style="378" customWidth="1"/>
    <col min="37" max="58" width="2.33203125" style="378" customWidth="1"/>
    <col min="59" max="16384" width="9" style="240"/>
  </cols>
  <sheetData>
    <row r="1" spans="1:88" ht="16.5" customHeight="1" x14ac:dyDescent="0.25">
      <c r="B1" s="240" t="s">
        <v>200</v>
      </c>
      <c r="C1" s="240" t="s">
        <v>201</v>
      </c>
      <c r="D1" s="240" t="s">
        <v>202</v>
      </c>
      <c r="E1" s="630" t="s">
        <v>203</v>
      </c>
      <c r="F1" s="630"/>
      <c r="I1" s="240" t="s">
        <v>204</v>
      </c>
      <c r="J1" s="240" t="s">
        <v>205</v>
      </c>
      <c r="L1" s="248" t="s">
        <v>206</v>
      </c>
      <c r="N1" s="249"/>
      <c r="O1" s="250">
        <v>1</v>
      </c>
      <c r="P1" s="250">
        <v>2</v>
      </c>
      <c r="Q1" s="250">
        <v>3</v>
      </c>
      <c r="R1" s="250">
        <v>4</v>
      </c>
      <c r="S1" s="250">
        <v>5</v>
      </c>
      <c r="T1" s="250">
        <v>6</v>
      </c>
      <c r="U1" s="250">
        <v>7</v>
      </c>
      <c r="V1" s="250">
        <v>8</v>
      </c>
      <c r="W1" s="250">
        <v>9</v>
      </c>
      <c r="X1" s="250">
        <v>10</v>
      </c>
      <c r="Y1" s="250">
        <v>11</v>
      </c>
      <c r="Z1" s="250">
        <v>12</v>
      </c>
      <c r="AA1" s="250">
        <v>13</v>
      </c>
      <c r="AB1" s="250">
        <v>14</v>
      </c>
      <c r="AC1" s="250">
        <v>15</v>
      </c>
      <c r="AD1" s="250">
        <v>16</v>
      </c>
      <c r="AE1" s="250">
        <v>17</v>
      </c>
      <c r="AF1" s="250">
        <v>18</v>
      </c>
      <c r="AG1" s="250">
        <v>19</v>
      </c>
      <c r="AH1" s="250">
        <v>20</v>
      </c>
      <c r="BH1" s="255" t="s">
        <v>207</v>
      </c>
      <c r="BI1" s="255" t="s">
        <v>118</v>
      </c>
      <c r="BJ1" s="255" t="s">
        <v>208</v>
      </c>
      <c r="BK1" s="255" t="s">
        <v>119</v>
      </c>
      <c r="BL1" s="251" t="s">
        <v>207</v>
      </c>
      <c r="BM1" s="251" t="s">
        <v>118</v>
      </c>
      <c r="BN1" s="251" t="s">
        <v>119</v>
      </c>
      <c r="BO1" s="251"/>
      <c r="BQ1" s="255" t="s">
        <v>209</v>
      </c>
      <c r="BR1" s="255" t="s">
        <v>70</v>
      </c>
      <c r="BS1" s="255" t="s">
        <v>210</v>
      </c>
      <c r="BT1" s="255" t="s">
        <v>211</v>
      </c>
      <c r="BU1" s="255" t="s">
        <v>208</v>
      </c>
      <c r="BV1" s="255" t="s">
        <v>119</v>
      </c>
      <c r="BW1" s="251" t="s">
        <v>209</v>
      </c>
      <c r="BX1" s="251" t="s">
        <v>70</v>
      </c>
      <c r="BY1" s="251" t="s">
        <v>210</v>
      </c>
      <c r="BZ1" s="251" t="s">
        <v>211</v>
      </c>
      <c r="CA1" s="251" t="s">
        <v>119</v>
      </c>
      <c r="CC1" s="631" t="s">
        <v>65</v>
      </c>
      <c r="CD1" s="631"/>
      <c r="CE1" s="250"/>
      <c r="CF1" s="250"/>
      <c r="CG1" s="250" t="s">
        <v>68</v>
      </c>
      <c r="CH1" s="250" t="s">
        <v>212</v>
      </c>
      <c r="CI1" s="250" t="s">
        <v>213</v>
      </c>
      <c r="CJ1" s="250" t="s">
        <v>212</v>
      </c>
    </row>
    <row r="2" spans="1:88" ht="16.5" customHeight="1" x14ac:dyDescent="0.25">
      <c r="A2" s="239">
        <v>1</v>
      </c>
      <c r="B2" s="240" t="str">
        <f>IF(法术书!X3="","",法术书!X3)</f>
        <v/>
      </c>
      <c r="C2" s="240" t="str">
        <f>IFERROR(VLOOKUP(B2,法术大全!$A:$Y,5,FALSE),"")</f>
        <v/>
      </c>
      <c r="D2" s="241" t="str">
        <f>IFERROR(VLOOKUP(B2,法术大全!$A:$Y,4,FALSE),"")</f>
        <v/>
      </c>
      <c r="E2" s="239">
        <v>1</v>
      </c>
      <c r="F2" s="242" t="str">
        <f t="shared" ref="F2:F51" si="0">B2</f>
        <v/>
      </c>
      <c r="G2" s="243" t="s">
        <v>214</v>
      </c>
      <c r="H2" s="244" t="str">
        <f>IF(主要!Q56&lt;&gt;"",主要!Q56,"")</f>
        <v/>
      </c>
      <c r="I2" s="240">
        <f>IF(VLOOKUP(H2,法术大全!$A$3:$E$594,4,0)="√",1,0)</f>
        <v>0</v>
      </c>
      <c r="J2" s="240">
        <f>IF(VLOOKUP(H2,法术大全!$A$3:$E$594,5,0)="√",1,0)</f>
        <v>0</v>
      </c>
      <c r="L2" s="251" t="s">
        <v>215</v>
      </c>
      <c r="N2" s="252" t="s">
        <v>216</v>
      </c>
      <c r="O2" s="253">
        <v>4</v>
      </c>
      <c r="P2" s="253">
        <v>5</v>
      </c>
      <c r="Q2" s="253">
        <v>6</v>
      </c>
      <c r="R2" s="253">
        <v>7</v>
      </c>
      <c r="S2" s="253">
        <v>9</v>
      </c>
      <c r="T2" s="253">
        <v>10</v>
      </c>
      <c r="U2" s="253">
        <v>11</v>
      </c>
      <c r="V2" s="253">
        <v>12</v>
      </c>
      <c r="W2" s="253">
        <v>14</v>
      </c>
      <c r="X2" s="253">
        <v>15</v>
      </c>
      <c r="Y2" s="253">
        <v>16</v>
      </c>
      <c r="Z2" s="253">
        <v>16</v>
      </c>
      <c r="AA2" s="253">
        <v>17</v>
      </c>
      <c r="AB2" s="253">
        <v>17</v>
      </c>
      <c r="AC2" s="253">
        <v>18</v>
      </c>
      <c r="AD2" s="253">
        <v>18</v>
      </c>
      <c r="AE2" s="253">
        <v>19</v>
      </c>
      <c r="AF2" s="253">
        <v>20</v>
      </c>
      <c r="AG2" s="253">
        <v>21</v>
      </c>
      <c r="AH2" s="253">
        <v>22</v>
      </c>
      <c r="AI2" s="253"/>
      <c r="AJ2" s="253"/>
      <c r="AK2" s="445" t="s">
        <v>189</v>
      </c>
      <c r="AL2" s="445"/>
      <c r="AM2" s="445"/>
      <c r="AN2" s="445"/>
      <c r="AO2" s="445"/>
      <c r="AP2" s="445"/>
      <c r="AQ2" s="445"/>
      <c r="AR2" s="445"/>
      <c r="AS2" s="445"/>
      <c r="AT2" s="445"/>
      <c r="AU2" s="445"/>
      <c r="AV2" s="445"/>
      <c r="AW2" s="445"/>
      <c r="AX2" s="445"/>
      <c r="AY2" s="445"/>
      <c r="AZ2" s="445"/>
      <c r="BA2" s="445"/>
      <c r="BB2" s="445"/>
      <c r="BC2" s="445"/>
      <c r="BD2" s="445"/>
      <c r="BE2" s="445"/>
      <c r="BF2" s="445"/>
      <c r="BH2" s="256" t="s">
        <v>217</v>
      </c>
      <c r="BI2" s="256" t="s">
        <v>218</v>
      </c>
      <c r="BJ2" s="256" t="s">
        <v>219</v>
      </c>
      <c r="BK2" s="256">
        <v>1</v>
      </c>
      <c r="BL2" s="257" t="str">
        <f>IF(ISBLANK(背包!B5),,INDEX($BH$2:$BK$97,MATCH(背包!B5&amp;"*",$BH$2:$BH$97,0),1))&amp;""</f>
        <v/>
      </c>
      <c r="BM2" s="251" t="str">
        <f>IF(ISBLANK(背包!B5),,INDEX($BI$2:$BK$97,MATCH(背包!B5&amp;"*",$BH$2:$BH$97,0),1))&amp;""</f>
        <v/>
      </c>
      <c r="BN2" s="251" t="str">
        <f t="shared" ref="BN2:BN11" si="1">IFERROR(VLOOKUP(BL2,$BH$2:$BK$95,4,0),"")</f>
        <v/>
      </c>
      <c r="BO2" s="251"/>
      <c r="BQ2" s="251" t="s">
        <v>220</v>
      </c>
      <c r="BR2" s="251" t="s">
        <v>81</v>
      </c>
      <c r="BS2" s="251" t="s">
        <v>221</v>
      </c>
      <c r="BT2" s="251" t="s">
        <v>222</v>
      </c>
      <c r="BU2" s="251" t="s">
        <v>223</v>
      </c>
      <c r="BV2" s="251">
        <v>8</v>
      </c>
      <c r="BW2" s="257" t="str">
        <f>IF(ISBLANK(背包!B16),,INDEX($BQ$2:$BV$40,MATCH(背包!B16&amp;"*",$BQ$2:$BQ$40,0),1))&amp;""</f>
        <v/>
      </c>
      <c r="BX2" s="251" t="str">
        <f t="shared" ref="BX2:BX11" si="2">IFERROR(VLOOKUP(BW2,$BQ$2:$BV$40,2,0),"")</f>
        <v/>
      </c>
      <c r="BY2" s="251" t="str">
        <f>IFERROR(VLOOKUP(BW2,$BQ$2:$BV$40,3,0),"")</f>
        <v/>
      </c>
      <c r="BZ2" s="251" t="str">
        <f>IFERROR(VLOOKUP(BW2,$BQ$2:$BV$40,4,0),"")</f>
        <v/>
      </c>
      <c r="CA2" s="251" t="str">
        <f>IFERROR(VLOOKUP(BW2,$BQ$2:$BV$40,6,0),"")</f>
        <v/>
      </c>
      <c r="CC2" s="261" t="s">
        <v>224</v>
      </c>
      <c r="CD2" s="262" t="s">
        <v>55</v>
      </c>
      <c r="CE2" s="263" t="s">
        <v>225</v>
      </c>
      <c r="CF2" s="240">
        <v>0</v>
      </c>
      <c r="CG2" s="263">
        <v>1</v>
      </c>
      <c r="CH2" s="240">
        <v>2</v>
      </c>
      <c r="CI2" s="264">
        <v>0</v>
      </c>
      <c r="CJ2" s="241">
        <v>2</v>
      </c>
    </row>
    <row r="3" spans="1:88" ht="16.5" customHeight="1" x14ac:dyDescent="0.25">
      <c r="A3" s="239">
        <v>2</v>
      </c>
      <c r="B3" s="240" t="str">
        <f>IF(法术书!X4="","",法术书!X4)</f>
        <v/>
      </c>
      <c r="C3" s="240" t="str">
        <f>IFERROR(VLOOKUP(B3,法术大全!$A:$Y,5,FALSE),"")</f>
        <v/>
      </c>
      <c r="D3" s="241" t="str">
        <f>IFERROR(VLOOKUP(B3,法术大全!$A:$Y,4,FALSE),"")</f>
        <v/>
      </c>
      <c r="E3" s="239">
        <v>2</v>
      </c>
      <c r="F3" s="242" t="str">
        <f t="shared" si="0"/>
        <v/>
      </c>
      <c r="G3" s="243"/>
      <c r="H3" s="244" t="str">
        <f>IF(主要!Q57&lt;&gt;"",主要!Q57,"")</f>
        <v/>
      </c>
      <c r="I3" s="240">
        <f>IF(VLOOKUP(H3,法术大全!$A$3:$E$594,4,0)="√",1,0)</f>
        <v>0</v>
      </c>
      <c r="J3" s="240">
        <f>IF(VLOOKUP(H3,法术大全!$A$3:$E$594,5,0)="√",1,0)</f>
        <v>0</v>
      </c>
      <c r="L3" s="251" t="s">
        <v>226</v>
      </c>
      <c r="N3" s="252" t="s">
        <v>227</v>
      </c>
      <c r="O3" s="253">
        <v>4</v>
      </c>
      <c r="P3" s="253">
        <v>5</v>
      </c>
      <c r="Q3" s="253">
        <v>6</v>
      </c>
      <c r="R3" s="253">
        <v>7</v>
      </c>
      <c r="S3" s="253">
        <v>9</v>
      </c>
      <c r="T3" s="253">
        <v>10</v>
      </c>
      <c r="U3" s="253">
        <v>11</v>
      </c>
      <c r="V3" s="253">
        <v>12</v>
      </c>
      <c r="W3" s="253">
        <v>14</v>
      </c>
      <c r="X3" s="253">
        <v>15</v>
      </c>
      <c r="Y3" s="253">
        <v>16</v>
      </c>
      <c r="Z3" s="253">
        <v>16</v>
      </c>
      <c r="AA3" s="253">
        <v>17</v>
      </c>
      <c r="AB3" s="253">
        <v>17</v>
      </c>
      <c r="AC3" s="253">
        <v>18</v>
      </c>
      <c r="AD3" s="253">
        <v>18</v>
      </c>
      <c r="AE3" s="253">
        <v>19</v>
      </c>
      <c r="AF3" s="253">
        <v>20</v>
      </c>
      <c r="AG3" s="253">
        <v>21</v>
      </c>
      <c r="AH3" s="253">
        <v>22</v>
      </c>
      <c r="AI3" s="253"/>
      <c r="AJ3" s="253"/>
      <c r="AK3" s="442"/>
      <c r="AL3" s="442"/>
      <c r="AM3" s="442"/>
      <c r="AN3" s="442"/>
      <c r="AO3" s="442"/>
      <c r="AP3" s="442"/>
      <c r="AQ3" s="442"/>
      <c r="AR3" s="442"/>
      <c r="AS3" s="442"/>
      <c r="AT3" s="442"/>
      <c r="AU3" s="442"/>
      <c r="AV3" s="442"/>
      <c r="AW3" s="442"/>
      <c r="AX3" s="442"/>
      <c r="AY3" s="442"/>
      <c r="AZ3" s="442"/>
      <c r="BA3" s="442"/>
      <c r="BB3" s="442"/>
      <c r="BC3" s="442"/>
      <c r="BD3" s="442"/>
      <c r="BE3" s="442"/>
      <c r="BF3" s="442"/>
      <c r="BH3" s="251" t="s">
        <v>228</v>
      </c>
      <c r="BI3" s="251" t="s">
        <v>229</v>
      </c>
      <c r="BJ3" s="251" t="s">
        <v>223</v>
      </c>
      <c r="BK3" s="251">
        <v>1</v>
      </c>
      <c r="BL3" s="258" t="str">
        <f>IF(ISBLANK(背包!B6),,INDEX($BH$2:$BK$97,MATCH(背包!B6&amp;"*",$BH$2:$BH$97,0),1))&amp;""</f>
        <v/>
      </c>
      <c r="BM3" s="251" t="str">
        <f>IF(ISBLANK(背包!B6),,INDEX($BI$2:$BK$97,MATCH(背包!B6&amp;"*",$BH$2:$BH$97,0),1))&amp;""</f>
        <v/>
      </c>
      <c r="BN3" s="251" t="str">
        <f t="shared" si="1"/>
        <v/>
      </c>
      <c r="BO3" s="251"/>
      <c r="BQ3" s="251" t="s">
        <v>230</v>
      </c>
      <c r="BR3" s="251" t="s">
        <v>81</v>
      </c>
      <c r="BS3" s="251" t="s">
        <v>231</v>
      </c>
      <c r="BT3" s="251" t="s">
        <v>232</v>
      </c>
      <c r="BU3" s="251" t="s">
        <v>233</v>
      </c>
      <c r="BV3" s="251">
        <v>9</v>
      </c>
      <c r="BW3" s="258" t="str">
        <f>IF(ISBLANK(背包!B17),,INDEX($BQ$2:$BV$40,MATCH(背包!B17&amp;"*",$BQ$2:$BQ$40,0),1))&amp;""</f>
        <v/>
      </c>
      <c r="BX3" s="251" t="str">
        <f t="shared" si="2"/>
        <v/>
      </c>
      <c r="BY3" s="251" t="str">
        <f t="shared" ref="BY3:BY11" si="3">IFERROR(VLOOKUP(BW3,$BQ$2:$BV$40,3,0),"")</f>
        <v/>
      </c>
      <c r="BZ3" s="251" t="str">
        <f t="shared" ref="BZ3:BZ11" si="4">IFERROR(VLOOKUP(BW3,$BQ$2:$BV$40,4,0),"")</f>
        <v/>
      </c>
      <c r="CA3" s="251" t="str">
        <f t="shared" ref="CA3:CA11" si="5">IFERROR(VLOOKUP(BW3,$BQ$2:$BV$40,6,0),"")</f>
        <v/>
      </c>
      <c r="CC3" s="265">
        <v>0</v>
      </c>
      <c r="CD3" s="266">
        <v>1</v>
      </c>
      <c r="CE3" s="240" t="s">
        <v>234</v>
      </c>
      <c r="CF3" s="240">
        <v>1</v>
      </c>
      <c r="CG3" s="263">
        <v>2</v>
      </c>
      <c r="CH3" s="240">
        <v>2</v>
      </c>
      <c r="CI3" s="264" t="s">
        <v>235</v>
      </c>
      <c r="CJ3" s="241">
        <v>2</v>
      </c>
    </row>
    <row r="4" spans="1:88" ht="16.5" customHeight="1" x14ac:dyDescent="0.25">
      <c r="A4" s="239">
        <v>3</v>
      </c>
      <c r="B4" s="240" t="str">
        <f>IF(法术书!X5="","",法术书!X5)</f>
        <v/>
      </c>
      <c r="C4" s="240" t="str">
        <f>IFERROR(VLOOKUP(B4,法术大全!$A:$Y,5,FALSE),"")</f>
        <v/>
      </c>
      <c r="D4" s="241" t="str">
        <f>IFERROR(VLOOKUP(B4,法术大全!$A:$Y,4,FALSE),"")</f>
        <v/>
      </c>
      <c r="E4" s="239">
        <v>3</v>
      </c>
      <c r="F4" s="242" t="str">
        <f t="shared" si="0"/>
        <v/>
      </c>
      <c r="G4" s="243"/>
      <c r="H4" s="244" t="str">
        <f>IF(主要!Q58&lt;&gt;"",主要!Q58,"")</f>
        <v/>
      </c>
      <c r="I4" s="240">
        <f>IF(VLOOKUP(H4,法术大全!$A$3:$E$594,4,0)="√",1,0)</f>
        <v>0</v>
      </c>
      <c r="J4" s="240">
        <f>IF(VLOOKUP(H4,法术大全!$A$3:$E$594,5,0)="√",1,0)</f>
        <v>0</v>
      </c>
      <c r="L4" s="251" t="s">
        <v>236</v>
      </c>
      <c r="N4" s="252" t="s">
        <v>237</v>
      </c>
      <c r="O4" s="253">
        <v>4</v>
      </c>
      <c r="P4" s="253">
        <v>5</v>
      </c>
      <c r="Q4" s="253">
        <v>6</v>
      </c>
      <c r="R4" s="253">
        <v>7</v>
      </c>
      <c r="S4" s="253">
        <v>9</v>
      </c>
      <c r="T4" s="253">
        <v>10</v>
      </c>
      <c r="U4" s="253">
        <v>11</v>
      </c>
      <c r="V4" s="253">
        <v>12</v>
      </c>
      <c r="W4" s="253">
        <v>14</v>
      </c>
      <c r="X4" s="253">
        <v>15</v>
      </c>
      <c r="Y4" s="253">
        <v>16</v>
      </c>
      <c r="Z4" s="253">
        <v>16</v>
      </c>
      <c r="AA4" s="253">
        <v>17</v>
      </c>
      <c r="AB4" s="253">
        <v>17</v>
      </c>
      <c r="AC4" s="253">
        <v>18</v>
      </c>
      <c r="AD4" s="253">
        <v>18</v>
      </c>
      <c r="AE4" s="253">
        <v>19</v>
      </c>
      <c r="AF4" s="253">
        <v>20</v>
      </c>
      <c r="AG4" s="253">
        <v>21</v>
      </c>
      <c r="AH4" s="253">
        <v>22</v>
      </c>
      <c r="AI4" s="253"/>
      <c r="AJ4" s="253"/>
      <c r="AK4" s="442"/>
      <c r="AL4" s="442"/>
      <c r="AM4" s="442"/>
      <c r="AN4" s="442"/>
      <c r="AO4" s="442"/>
      <c r="AP4" s="442"/>
      <c r="AQ4" s="442"/>
      <c r="AR4" s="442"/>
      <c r="AS4" s="442"/>
      <c r="AT4" s="442"/>
      <c r="AU4" s="442"/>
      <c r="AV4" s="442"/>
      <c r="AW4" s="442"/>
      <c r="AX4" s="442"/>
      <c r="AY4" s="442"/>
      <c r="AZ4" s="442"/>
      <c r="BA4" s="442"/>
      <c r="BB4" s="442"/>
      <c r="BC4" s="442"/>
      <c r="BD4" s="442"/>
      <c r="BE4" s="442"/>
      <c r="BF4" s="442"/>
      <c r="BH4" s="259" t="s">
        <v>238</v>
      </c>
      <c r="BI4" s="259" t="s">
        <v>239</v>
      </c>
      <c r="BJ4" s="259" t="s">
        <v>240</v>
      </c>
      <c r="BK4" s="259">
        <v>1</v>
      </c>
      <c r="BL4" s="258" t="str">
        <f>IF(ISBLANK(背包!B7),,INDEX($BH$2:$BK$97,MATCH(背包!B7&amp;"*",$BH$2:$BH$97,0),1))&amp;""</f>
        <v/>
      </c>
      <c r="BM4" s="251" t="str">
        <f>IF(ISBLANK(背包!B7),,INDEX($BI$2:$BK$97,MATCH(背包!B7&amp;"*",$BH$2:$BH$97,0),1))&amp;""</f>
        <v/>
      </c>
      <c r="BN4" s="251" t="str">
        <f t="shared" si="1"/>
        <v/>
      </c>
      <c r="BO4" s="251"/>
      <c r="BQ4" s="251" t="s">
        <v>241</v>
      </c>
      <c r="BR4" s="251" t="s">
        <v>79</v>
      </c>
      <c r="BS4" s="251" t="s">
        <v>242</v>
      </c>
      <c r="BT4" s="251" t="s">
        <v>243</v>
      </c>
      <c r="BU4" s="251" t="s">
        <v>244</v>
      </c>
      <c r="BV4" s="251">
        <v>5</v>
      </c>
      <c r="BW4" s="258" t="str">
        <f>IF(ISBLANK(背包!B18),,INDEX($BQ$2:$BV$40,MATCH(背包!B18&amp;"*",$BQ$2:$BQ$40,0),1))&amp;""</f>
        <v/>
      </c>
      <c r="BX4" s="251" t="str">
        <f t="shared" si="2"/>
        <v/>
      </c>
      <c r="BY4" s="251" t="str">
        <f t="shared" si="3"/>
        <v/>
      </c>
      <c r="BZ4" s="251" t="str">
        <f t="shared" si="4"/>
        <v/>
      </c>
      <c r="CA4" s="251" t="str">
        <f t="shared" si="5"/>
        <v/>
      </c>
      <c r="CC4" s="265">
        <v>300</v>
      </c>
      <c r="CD4" s="266">
        <v>2</v>
      </c>
      <c r="CE4" s="240" t="s">
        <v>245</v>
      </c>
      <c r="CF4" s="240">
        <v>2</v>
      </c>
      <c r="CG4" s="263">
        <v>3</v>
      </c>
      <c r="CH4" s="240">
        <v>2</v>
      </c>
      <c r="CI4" s="264" t="s">
        <v>246</v>
      </c>
      <c r="CJ4" s="241">
        <v>2</v>
      </c>
    </row>
    <row r="5" spans="1:88" ht="16.5" customHeight="1" x14ac:dyDescent="0.25">
      <c r="A5" s="239">
        <v>4</v>
      </c>
      <c r="B5" s="240" t="str">
        <f>IF(法术书!X6="","",法术书!X6)</f>
        <v/>
      </c>
      <c r="C5" s="240" t="str">
        <f>IFERROR(VLOOKUP(B5,法术大全!$A:$Y,5,FALSE),"")</f>
        <v/>
      </c>
      <c r="D5" s="241" t="str">
        <f>IFERROR(VLOOKUP(B5,法术大全!$A:$Y,4,FALSE),"")</f>
        <v/>
      </c>
      <c r="E5" s="239">
        <v>4</v>
      </c>
      <c r="F5" s="242" t="str">
        <f t="shared" si="0"/>
        <v/>
      </c>
      <c r="G5" s="243"/>
      <c r="H5" s="244" t="str">
        <f>IF(主要!Q59&lt;&gt;"",主要!Q59,"")</f>
        <v/>
      </c>
      <c r="I5" s="240">
        <f>IF(VLOOKUP(H5,法术大全!$A$3:$E$594,4,0)="√",1,0)</f>
        <v>0</v>
      </c>
      <c r="J5" s="240">
        <f>IF(VLOOKUP(H5,法术大全!$A$3:$E$594,5,0)="√",1,0)</f>
        <v>0</v>
      </c>
      <c r="L5" s="251" t="s">
        <v>247</v>
      </c>
      <c r="N5" s="252" t="s">
        <v>248</v>
      </c>
      <c r="O5" s="253">
        <v>2</v>
      </c>
      <c r="P5" s="254">
        <v>3</v>
      </c>
      <c r="Q5" s="253">
        <v>4</v>
      </c>
      <c r="R5" s="254">
        <v>5</v>
      </c>
      <c r="S5" s="253">
        <v>6</v>
      </c>
      <c r="T5" s="254">
        <v>6</v>
      </c>
      <c r="U5" s="253">
        <v>7</v>
      </c>
      <c r="V5" s="254">
        <v>7</v>
      </c>
      <c r="W5" s="253">
        <v>9</v>
      </c>
      <c r="X5" s="254">
        <v>9</v>
      </c>
      <c r="Y5" s="253">
        <v>10</v>
      </c>
      <c r="Z5" s="254">
        <v>10</v>
      </c>
      <c r="AA5" s="253">
        <v>11</v>
      </c>
      <c r="AB5" s="254">
        <v>11</v>
      </c>
      <c r="AC5" s="253">
        <v>12</v>
      </c>
      <c r="AD5" s="254">
        <v>12</v>
      </c>
      <c r="AE5" s="253">
        <v>14</v>
      </c>
      <c r="AF5" s="254">
        <v>14</v>
      </c>
      <c r="AG5" s="253">
        <v>15</v>
      </c>
      <c r="AH5" s="253">
        <v>15</v>
      </c>
      <c r="AI5" s="253"/>
      <c r="AJ5" s="253"/>
      <c r="AK5" s="442"/>
      <c r="AL5" s="442"/>
      <c r="AM5" s="442"/>
      <c r="AN5" s="442"/>
      <c r="AO5" s="442"/>
      <c r="AP5" s="442"/>
      <c r="AQ5" s="442"/>
      <c r="AR5" s="442"/>
      <c r="AS5" s="442"/>
      <c r="AT5" s="442"/>
      <c r="AU5" s="442"/>
      <c r="AV5" s="442"/>
      <c r="AW5" s="442"/>
      <c r="AX5" s="442"/>
      <c r="AY5" s="442"/>
      <c r="AZ5" s="442"/>
      <c r="BA5" s="442"/>
      <c r="BB5" s="442"/>
      <c r="BC5" s="442"/>
      <c r="BD5" s="442"/>
      <c r="BE5" s="442"/>
      <c r="BF5" s="442"/>
      <c r="BH5" s="251" t="s">
        <v>249</v>
      </c>
      <c r="BI5" s="251" t="s">
        <v>239</v>
      </c>
      <c r="BJ5" s="251" t="s">
        <v>240</v>
      </c>
      <c r="BK5" s="251">
        <v>1.5</v>
      </c>
      <c r="BL5" s="258" t="str">
        <f>IF(ISBLANK(背包!B8),,INDEX($BH$2:$BK$97,MATCH(背包!B8&amp;"*",$BH$2:$BH$97,0),1))&amp;""</f>
        <v/>
      </c>
      <c r="BM5" s="251" t="str">
        <f>IF(ISBLANK(背包!B8),,INDEX($BI$2:$BK$97,MATCH(背包!B8&amp;"*",$BH$2:$BH$97,0),1))&amp;""</f>
        <v/>
      </c>
      <c r="BN5" s="251" t="str">
        <f t="shared" si="1"/>
        <v/>
      </c>
      <c r="BO5" s="251"/>
      <c r="BQ5" s="251" t="s">
        <v>250</v>
      </c>
      <c r="BR5" s="251" t="s">
        <v>77</v>
      </c>
      <c r="BS5" s="251" t="s">
        <v>251</v>
      </c>
      <c r="BT5" s="251" t="s">
        <v>252</v>
      </c>
      <c r="BU5" s="251" t="s">
        <v>253</v>
      </c>
      <c r="BV5" s="251">
        <v>6</v>
      </c>
      <c r="BW5" s="258" t="str">
        <f>IF(ISBLANK(背包!B19),,INDEX($BQ$2:$BV$40,MATCH(背包!B19&amp;"*",$BQ$2:$BQ$40,0),1))&amp;""</f>
        <v/>
      </c>
      <c r="BX5" s="251" t="str">
        <f t="shared" si="2"/>
        <v/>
      </c>
      <c r="BY5" s="251" t="str">
        <f t="shared" si="3"/>
        <v/>
      </c>
      <c r="BZ5" s="251" t="str">
        <f t="shared" si="4"/>
        <v/>
      </c>
      <c r="CA5" s="251" t="str">
        <f t="shared" si="5"/>
        <v/>
      </c>
      <c r="CC5" s="265">
        <v>900</v>
      </c>
      <c r="CD5" s="266">
        <v>3</v>
      </c>
      <c r="CE5" s="240" t="s">
        <v>254</v>
      </c>
      <c r="CF5" s="240">
        <v>3</v>
      </c>
      <c r="CG5" s="263">
        <v>4</v>
      </c>
      <c r="CH5" s="240">
        <v>2</v>
      </c>
      <c r="CI5" s="264" t="s">
        <v>255</v>
      </c>
      <c r="CJ5" s="241">
        <v>2</v>
      </c>
    </row>
    <row r="6" spans="1:88" ht="16.5" customHeight="1" x14ac:dyDescent="0.25">
      <c r="A6" s="239">
        <v>5</v>
      </c>
      <c r="B6" s="240" t="str">
        <f>IF(法术书!X7="","",法术书!X7)</f>
        <v/>
      </c>
      <c r="C6" s="240" t="str">
        <f>IFERROR(VLOOKUP(B6,法术大全!$A:$Y,5,FALSE),"")</f>
        <v/>
      </c>
      <c r="D6" s="241" t="str">
        <f>IFERROR(VLOOKUP(B6,法术大全!$A:$Y,4,FALSE),"")</f>
        <v/>
      </c>
      <c r="E6" s="239">
        <v>5</v>
      </c>
      <c r="F6" s="242" t="str">
        <f t="shared" si="0"/>
        <v/>
      </c>
      <c r="G6" s="243"/>
      <c r="H6" s="244" t="str">
        <f>IF(主要!Q60&lt;&gt;"",主要!Q60,"")</f>
        <v/>
      </c>
      <c r="I6" s="240">
        <f>IF(VLOOKUP(H6,法术大全!$A$3:$E$594,4,0)="√",1,0)</f>
        <v>0</v>
      </c>
      <c r="J6" s="240">
        <f>IF(VLOOKUP(H6,法术大全!$A$3:$E$594,5,0)="√",1,0)</f>
        <v>0</v>
      </c>
      <c r="L6" s="251" t="s">
        <v>256</v>
      </c>
      <c r="N6" s="252" t="s">
        <v>257</v>
      </c>
      <c r="O6" s="253">
        <v>2</v>
      </c>
      <c r="P6" s="253">
        <v>3</v>
      </c>
      <c r="Q6" s="253">
        <v>4</v>
      </c>
      <c r="R6" s="253">
        <v>5</v>
      </c>
      <c r="S6" s="253">
        <v>6</v>
      </c>
      <c r="T6" s="253">
        <v>6</v>
      </c>
      <c r="U6" s="253">
        <v>7</v>
      </c>
      <c r="V6" s="253">
        <v>7</v>
      </c>
      <c r="W6" s="253">
        <v>9</v>
      </c>
      <c r="X6" s="253">
        <v>9</v>
      </c>
      <c r="Y6" s="253">
        <v>10</v>
      </c>
      <c r="Z6" s="253">
        <v>10</v>
      </c>
      <c r="AA6" s="253">
        <v>11</v>
      </c>
      <c r="AB6" s="253">
        <v>11</v>
      </c>
      <c r="AC6" s="253">
        <v>12</v>
      </c>
      <c r="AD6" s="253">
        <v>12</v>
      </c>
      <c r="AE6" s="253">
        <v>14</v>
      </c>
      <c r="AF6" s="253">
        <v>14</v>
      </c>
      <c r="AG6" s="253">
        <v>15</v>
      </c>
      <c r="AH6" s="253">
        <v>15</v>
      </c>
      <c r="AI6" s="253"/>
      <c r="AJ6" s="253"/>
      <c r="AK6" s="442"/>
      <c r="AL6" s="442"/>
      <c r="AM6" s="442"/>
      <c r="AN6" s="442"/>
      <c r="AO6" s="442"/>
      <c r="AP6" s="442"/>
      <c r="AQ6" s="442"/>
      <c r="AR6" s="442"/>
      <c r="AS6" s="442"/>
      <c r="AT6" s="442"/>
      <c r="AU6" s="442"/>
      <c r="AV6" s="442"/>
      <c r="AW6" s="442"/>
      <c r="AX6" s="442"/>
      <c r="AY6" s="442"/>
      <c r="AZ6" s="442"/>
      <c r="BA6" s="442"/>
      <c r="BB6" s="442"/>
      <c r="BC6" s="442"/>
      <c r="BD6" s="442"/>
      <c r="BE6" s="442"/>
      <c r="BF6" s="442"/>
      <c r="BH6" s="259" t="s">
        <v>258</v>
      </c>
      <c r="BI6" s="259" t="s">
        <v>259</v>
      </c>
      <c r="BJ6" s="259" t="s">
        <v>260</v>
      </c>
      <c r="BK6" s="259">
        <v>2</v>
      </c>
      <c r="BL6" s="258" t="str">
        <f>IF(ISBLANK(背包!B9),,INDEX($BH$2:$BK$97,MATCH(背包!B9&amp;"*",$BH$2:$BH$97,0),1))&amp;""</f>
        <v/>
      </c>
      <c r="BM6" s="251" t="str">
        <f>IF(ISBLANK(背包!B9),,INDEX($BI$2:$BK$97,MATCH(背包!B9&amp;"*",$BH$2:$BH$97,0),1))&amp;""</f>
        <v/>
      </c>
      <c r="BN6" s="251" t="str">
        <f t="shared" si="1"/>
        <v/>
      </c>
      <c r="BO6" s="251"/>
      <c r="BQ6" s="251" t="s">
        <v>261</v>
      </c>
      <c r="BR6" s="251" t="s">
        <v>82</v>
      </c>
      <c r="BS6" s="251" t="s">
        <v>262</v>
      </c>
      <c r="BT6" s="251" t="s">
        <v>263</v>
      </c>
      <c r="BU6" s="251" t="s">
        <v>264</v>
      </c>
      <c r="BV6" s="251">
        <v>6</v>
      </c>
      <c r="BW6" s="258" t="str">
        <f>IF(ISBLANK(背包!B20),,INDEX($BQ$2:$BV$40,MATCH(背包!B20&amp;"*",$BQ$2:$BQ$40,0),1))&amp;""</f>
        <v/>
      </c>
      <c r="BX6" s="251" t="str">
        <f t="shared" si="2"/>
        <v/>
      </c>
      <c r="BY6" s="251" t="str">
        <f t="shared" si="3"/>
        <v/>
      </c>
      <c r="BZ6" s="251" t="str">
        <f t="shared" si="4"/>
        <v/>
      </c>
      <c r="CA6" s="251" t="str">
        <f t="shared" si="5"/>
        <v/>
      </c>
      <c r="CC6" s="265">
        <f>CC5*CD5</f>
        <v>2700</v>
      </c>
      <c r="CD6" s="266">
        <v>4</v>
      </c>
      <c r="CE6" s="240" t="s">
        <v>265</v>
      </c>
      <c r="CF6" s="240">
        <v>4</v>
      </c>
      <c r="CG6" s="263">
        <v>5</v>
      </c>
      <c r="CH6" s="240">
        <v>3</v>
      </c>
      <c r="CI6" s="263">
        <v>1</v>
      </c>
      <c r="CJ6" s="241">
        <v>2</v>
      </c>
    </row>
    <row r="7" spans="1:88" ht="16.5" customHeight="1" x14ac:dyDescent="0.25">
      <c r="A7" s="239">
        <v>6</v>
      </c>
      <c r="B7" s="240" t="str">
        <f>IF(法术书!X8="","",法术书!X8)</f>
        <v/>
      </c>
      <c r="C7" s="240" t="str">
        <f>IFERROR(VLOOKUP(B7,法术大全!$A:$Y,5,FALSE),"")</f>
        <v/>
      </c>
      <c r="D7" s="241" t="str">
        <f>IFERROR(VLOOKUP(B7,法术大全!$A:$Y,4,FALSE),"")</f>
        <v/>
      </c>
      <c r="E7" s="239">
        <v>6</v>
      </c>
      <c r="F7" s="242" t="str">
        <f t="shared" si="0"/>
        <v/>
      </c>
      <c r="G7" s="243"/>
      <c r="H7" s="244" t="str">
        <f>IF(主要!Q61&lt;&gt;"",主要!Q61,"")</f>
        <v/>
      </c>
      <c r="I7" s="240">
        <f>IF(VLOOKUP(H7,法术大全!$A$3:$E$594,4,0)="√",1,0)</f>
        <v>0</v>
      </c>
      <c r="J7" s="240">
        <f>IF(VLOOKUP(H7,法术大全!$A$3:$E$594,5,0)="√",1,0)</f>
        <v>0</v>
      </c>
      <c r="L7" s="251" t="s">
        <v>266</v>
      </c>
      <c r="N7" s="252" t="s">
        <v>267</v>
      </c>
      <c r="O7" s="253">
        <v>2</v>
      </c>
      <c r="P7" s="253">
        <v>4</v>
      </c>
      <c r="Q7" s="253">
        <v>6</v>
      </c>
      <c r="R7" s="253">
        <v>7</v>
      </c>
      <c r="S7" s="253">
        <v>9</v>
      </c>
      <c r="T7" s="253">
        <v>10</v>
      </c>
      <c r="U7" s="253">
        <v>11</v>
      </c>
      <c r="V7" s="253">
        <v>12</v>
      </c>
      <c r="W7" s="253">
        <v>14</v>
      </c>
      <c r="X7" s="253">
        <v>15</v>
      </c>
      <c r="Y7" s="253">
        <v>16</v>
      </c>
      <c r="Z7" s="253">
        <v>16</v>
      </c>
      <c r="AA7" s="253">
        <v>17</v>
      </c>
      <c r="AB7" s="253">
        <v>17</v>
      </c>
      <c r="AC7" s="253">
        <v>18</v>
      </c>
      <c r="AD7" s="253">
        <v>18</v>
      </c>
      <c r="AE7" s="253">
        <v>19</v>
      </c>
      <c r="AF7" s="253">
        <v>20</v>
      </c>
      <c r="AG7" s="253">
        <v>21</v>
      </c>
      <c r="AH7" s="253">
        <v>22</v>
      </c>
      <c r="AI7" s="253"/>
      <c r="AJ7" s="253"/>
      <c r="AK7" s="442"/>
      <c r="AL7" s="442"/>
      <c r="AM7" s="442"/>
      <c r="AN7" s="442"/>
      <c r="AO7" s="442"/>
      <c r="AP7" s="442"/>
      <c r="AQ7" s="442"/>
      <c r="AR7" s="442"/>
      <c r="AS7" s="442"/>
      <c r="AT7" s="442"/>
      <c r="AU7" s="442"/>
      <c r="AV7" s="442"/>
      <c r="AW7" s="442"/>
      <c r="AX7" s="442"/>
      <c r="AY7" s="442"/>
      <c r="AZ7" s="442"/>
      <c r="BA7" s="442"/>
      <c r="BB7" s="442"/>
      <c r="BC7" s="442"/>
      <c r="BD7" s="442"/>
      <c r="BE7" s="442"/>
      <c r="BF7" s="442"/>
      <c r="BH7" s="251" t="s">
        <v>268</v>
      </c>
      <c r="BI7" s="251" t="s">
        <v>269</v>
      </c>
      <c r="BJ7" s="251" t="s">
        <v>270</v>
      </c>
      <c r="BK7" s="251">
        <v>1.5</v>
      </c>
      <c r="BL7" s="258" t="str">
        <f>IF(ISBLANK(背包!B10),,INDEX($BH$2:$BK$97,MATCH(背包!B10&amp;"*",$BH$2:$BH$97,0),1))&amp;""</f>
        <v/>
      </c>
      <c r="BM7" s="251" t="str">
        <f>IF(ISBLANK(背包!B10),,INDEX($BI$2:$BK$97,MATCH(背包!B10&amp;"*",$BH$2:$BH$97,0),1))&amp;""</f>
        <v/>
      </c>
      <c r="BN7" s="251" t="str">
        <f t="shared" si="1"/>
        <v/>
      </c>
      <c r="BO7" s="251"/>
      <c r="BQ7" s="251" t="s">
        <v>271</v>
      </c>
      <c r="BR7" s="251" t="s">
        <v>79</v>
      </c>
      <c r="BS7" s="251" t="s">
        <v>272</v>
      </c>
      <c r="BT7" s="251" t="s">
        <v>273</v>
      </c>
      <c r="BU7" s="251" t="s">
        <v>274</v>
      </c>
      <c r="BV7" s="251">
        <v>5</v>
      </c>
      <c r="BW7" s="258" t="str">
        <f>IF(ISBLANK(背包!B21),,INDEX($BQ$2:$BV$40,MATCH(背包!B21&amp;"*",$BQ$2:$BQ$40,0),1))&amp;""</f>
        <v/>
      </c>
      <c r="BX7" s="251" t="str">
        <f t="shared" si="2"/>
        <v/>
      </c>
      <c r="BY7" s="251" t="str">
        <f t="shared" si="3"/>
        <v/>
      </c>
      <c r="BZ7" s="251" t="str">
        <f t="shared" si="4"/>
        <v/>
      </c>
      <c r="CA7" s="251" t="str">
        <f t="shared" si="5"/>
        <v/>
      </c>
      <c r="CC7" s="263">
        <v>6500</v>
      </c>
      <c r="CD7" s="241">
        <v>5</v>
      </c>
      <c r="CE7" s="240" t="s">
        <v>275</v>
      </c>
      <c r="CF7" s="240">
        <v>5</v>
      </c>
      <c r="CG7" s="263">
        <v>6</v>
      </c>
      <c r="CH7" s="240">
        <v>3</v>
      </c>
      <c r="CI7" s="263">
        <v>2</v>
      </c>
      <c r="CJ7" s="241">
        <v>2</v>
      </c>
    </row>
    <row r="8" spans="1:88" ht="16.5" customHeight="1" x14ac:dyDescent="0.25">
      <c r="A8" s="239">
        <v>7</v>
      </c>
      <c r="B8" s="240" t="str">
        <f>IF(法术书!X9="","",法术书!X9)</f>
        <v/>
      </c>
      <c r="C8" s="240" t="str">
        <f>IFERROR(VLOOKUP(B8,法术大全!$A:$Y,5,FALSE),"")</f>
        <v/>
      </c>
      <c r="D8" s="241" t="str">
        <f>IFERROR(VLOOKUP(B8,法术大全!$A:$Y,4,FALSE),"")</f>
        <v/>
      </c>
      <c r="E8" s="239">
        <v>7</v>
      </c>
      <c r="F8" s="242" t="str">
        <f t="shared" si="0"/>
        <v/>
      </c>
      <c r="G8" s="243"/>
      <c r="H8" s="244" t="str">
        <f>IF(主要!Q62&lt;&gt;"",主要!Q62,"")</f>
        <v/>
      </c>
      <c r="I8" s="240">
        <f>IF(VLOOKUP(H8,法术大全!$A$3:$E$594,4,0)="√",1,0)</f>
        <v>0</v>
      </c>
      <c r="J8" s="240">
        <f>IF(VLOOKUP(H8,法术大全!$A$3:$E$594,5,0)="√",1,0)</f>
        <v>0</v>
      </c>
      <c r="L8" s="251" t="s">
        <v>276</v>
      </c>
      <c r="N8" s="252" t="s">
        <v>277</v>
      </c>
      <c r="O8" s="253">
        <v>2</v>
      </c>
      <c r="P8" s="253">
        <v>3</v>
      </c>
      <c r="Q8" s="253">
        <v>4</v>
      </c>
      <c r="R8" s="253">
        <v>5</v>
      </c>
      <c r="S8" s="253">
        <v>6</v>
      </c>
      <c r="T8" s="253">
        <v>7</v>
      </c>
      <c r="U8" s="253">
        <v>8</v>
      </c>
      <c r="V8" s="253">
        <v>9</v>
      </c>
      <c r="W8" s="253">
        <v>10</v>
      </c>
      <c r="X8" s="253">
        <v>10</v>
      </c>
      <c r="Y8" s="253">
        <v>11</v>
      </c>
      <c r="Z8" s="253">
        <v>11</v>
      </c>
      <c r="AA8" s="253">
        <v>12</v>
      </c>
      <c r="AB8" s="253">
        <v>12</v>
      </c>
      <c r="AC8" s="253">
        <v>13</v>
      </c>
      <c r="AD8" s="253">
        <v>13</v>
      </c>
      <c r="AE8" s="253">
        <v>14</v>
      </c>
      <c r="AF8" s="253">
        <v>14</v>
      </c>
      <c r="AG8" s="253">
        <v>15</v>
      </c>
      <c r="AH8" s="253">
        <v>15</v>
      </c>
      <c r="AI8" s="253"/>
      <c r="AJ8" s="253"/>
      <c r="AK8" s="442"/>
      <c r="AL8" s="442"/>
      <c r="AM8" s="442"/>
      <c r="AN8" s="442"/>
      <c r="AO8" s="442"/>
      <c r="AP8" s="442"/>
      <c r="AQ8" s="442"/>
      <c r="AR8" s="442"/>
      <c r="AS8" s="442"/>
      <c r="AT8" s="442"/>
      <c r="AU8" s="442"/>
      <c r="AV8" s="442"/>
      <c r="AW8" s="442"/>
      <c r="AX8" s="442"/>
      <c r="AY8" s="442"/>
      <c r="AZ8" s="442"/>
      <c r="BA8" s="442"/>
      <c r="BB8" s="442"/>
      <c r="BC8" s="442"/>
      <c r="BD8" s="442"/>
      <c r="BE8" s="442"/>
      <c r="BF8" s="442"/>
      <c r="BH8" s="259" t="s">
        <v>278</v>
      </c>
      <c r="BI8" s="259" t="s">
        <v>279</v>
      </c>
      <c r="BJ8" s="259" t="s">
        <v>240</v>
      </c>
      <c r="BK8" s="259">
        <v>1</v>
      </c>
      <c r="BL8" s="258" t="str">
        <f>IF(ISBLANK(背包!B11),,INDEX($BH$2:$BK$97,MATCH(背包!B11&amp;"*",$BH$2:$BH$97,0),1))&amp;""</f>
        <v/>
      </c>
      <c r="BM8" s="251" t="str">
        <f>IF(ISBLANK(背包!B11),,INDEX($BI$2:$BK$97,MATCH(背包!B11&amp;"*",$BH$2:$BH$97,0),1))&amp;""</f>
        <v/>
      </c>
      <c r="BN8" s="251" t="str">
        <f t="shared" si="1"/>
        <v/>
      </c>
      <c r="BO8" s="251"/>
      <c r="BQ8" s="251" t="s">
        <v>280</v>
      </c>
      <c r="BR8" s="251" t="s">
        <v>82</v>
      </c>
      <c r="BS8" s="251" t="s">
        <v>281</v>
      </c>
      <c r="BT8" s="251" t="s">
        <v>282</v>
      </c>
      <c r="BU8" s="251" t="s">
        <v>240</v>
      </c>
      <c r="BV8" s="251">
        <v>8</v>
      </c>
      <c r="BW8" s="258" t="str">
        <f>IF(ISBLANK(背包!B22),,INDEX($BQ$2:$BV$40,MATCH(背包!B22&amp;"*",$BQ$2:$BQ$40,0),1))&amp;""</f>
        <v/>
      </c>
      <c r="BX8" s="251" t="str">
        <f t="shared" si="2"/>
        <v/>
      </c>
      <c r="BY8" s="251" t="str">
        <f t="shared" si="3"/>
        <v/>
      </c>
      <c r="BZ8" s="251" t="str">
        <f t="shared" si="4"/>
        <v/>
      </c>
      <c r="CA8" s="251" t="str">
        <f t="shared" si="5"/>
        <v/>
      </c>
      <c r="CC8" s="263">
        <v>14000</v>
      </c>
      <c r="CD8" s="241">
        <v>6</v>
      </c>
      <c r="CE8" s="240" t="s">
        <v>283</v>
      </c>
      <c r="CF8" s="240">
        <v>6</v>
      </c>
      <c r="CG8" s="263">
        <v>7</v>
      </c>
      <c r="CH8" s="240">
        <v>3</v>
      </c>
      <c r="CI8" s="263">
        <v>3</v>
      </c>
      <c r="CJ8" s="241">
        <v>2</v>
      </c>
    </row>
    <row r="9" spans="1:88" ht="16.5" customHeight="1" x14ac:dyDescent="0.25">
      <c r="A9" s="239">
        <v>8</v>
      </c>
      <c r="B9" s="240" t="str">
        <f>IF(法术书!X10="","",法术书!X10)</f>
        <v/>
      </c>
      <c r="C9" s="240" t="str">
        <f>IFERROR(VLOOKUP(B9,法术大全!$A:$Y,5,FALSE),"")</f>
        <v/>
      </c>
      <c r="D9" s="241" t="str">
        <f>IFERROR(VLOOKUP(B9,法术大全!$A:$Y,4,FALSE),"")</f>
        <v/>
      </c>
      <c r="E9" s="239">
        <v>8</v>
      </c>
      <c r="F9" s="242" t="str">
        <f t="shared" si="0"/>
        <v/>
      </c>
      <c r="G9" s="243"/>
      <c r="H9" s="244" t="str">
        <f>IF(主要!Q63&lt;&gt;"",主要!Q63,"")</f>
        <v/>
      </c>
      <c r="I9" s="240">
        <f>IF(VLOOKUP(H9,法术大全!$A$3:$E$594,4,0)="√",1,0)</f>
        <v>0</v>
      </c>
      <c r="J9" s="240">
        <f>IF(VLOOKUP(H9,法术大全!$A$3:$E$594,5,0)="√",1,0)</f>
        <v>0</v>
      </c>
      <c r="L9" s="251" t="s">
        <v>284</v>
      </c>
      <c r="N9" s="252" t="s">
        <v>285</v>
      </c>
      <c r="O9" s="253">
        <v>4</v>
      </c>
      <c r="P9" s="253">
        <v>5</v>
      </c>
      <c r="Q9" s="253">
        <v>6</v>
      </c>
      <c r="R9" s="253">
        <v>7</v>
      </c>
      <c r="S9" s="253">
        <v>9</v>
      </c>
      <c r="T9" s="253">
        <v>10</v>
      </c>
      <c r="U9" s="253">
        <v>11</v>
      </c>
      <c r="V9" s="253">
        <v>12</v>
      </c>
      <c r="W9" s="253">
        <v>14</v>
      </c>
      <c r="X9" s="253">
        <v>15</v>
      </c>
      <c r="Y9" s="253">
        <v>16</v>
      </c>
      <c r="Z9" s="253">
        <v>16</v>
      </c>
      <c r="AA9" s="253">
        <v>17</v>
      </c>
      <c r="AB9" s="253">
        <v>18</v>
      </c>
      <c r="AC9" s="253">
        <v>19</v>
      </c>
      <c r="AD9" s="253">
        <v>21</v>
      </c>
      <c r="AE9" s="253">
        <v>22</v>
      </c>
      <c r="AF9" s="253">
        <v>23</v>
      </c>
      <c r="AG9" s="253">
        <v>24</v>
      </c>
      <c r="AH9" s="253">
        <v>25</v>
      </c>
      <c r="AI9" s="253"/>
      <c r="AJ9" s="253"/>
      <c r="AK9" s="442"/>
      <c r="AL9" s="442"/>
      <c r="AM9" s="442"/>
      <c r="AN9" s="442"/>
      <c r="AO9" s="442"/>
      <c r="AP9" s="442"/>
      <c r="AQ9" s="442"/>
      <c r="AR9" s="442"/>
      <c r="AS9" s="442"/>
      <c r="AT9" s="442"/>
      <c r="AU9" s="442"/>
      <c r="AV9" s="442"/>
      <c r="AW9" s="442"/>
      <c r="AX9" s="442"/>
      <c r="AY9" s="442"/>
      <c r="AZ9" s="442"/>
      <c r="BA9" s="442"/>
      <c r="BB9" s="442"/>
      <c r="BC9" s="442"/>
      <c r="BD9" s="442"/>
      <c r="BE9" s="442"/>
      <c r="BF9" s="442"/>
      <c r="BH9" s="251" t="s">
        <v>232</v>
      </c>
      <c r="BI9" s="251" t="s">
        <v>286</v>
      </c>
      <c r="BJ9" s="251" t="s">
        <v>223</v>
      </c>
      <c r="BK9" s="251">
        <v>0</v>
      </c>
      <c r="BL9" s="258" t="str">
        <f>IF(ISBLANK(背包!B12),,INDEX($BH$2:$BK$97,MATCH(背包!B12&amp;"*",$BH$2:$BH$97,0),1))&amp;""</f>
        <v/>
      </c>
      <c r="BM9" s="251" t="str">
        <f>IF(ISBLANK(背包!B12),,INDEX($BI$2:$BK$97,MATCH(背包!B12&amp;"*",$BH$2:$BH$97,0),1))&amp;""</f>
        <v/>
      </c>
      <c r="BN9" s="251" t="str">
        <f t="shared" si="1"/>
        <v/>
      </c>
      <c r="BO9" s="251"/>
      <c r="BQ9" s="251" t="s">
        <v>287</v>
      </c>
      <c r="BR9" s="251" t="s">
        <v>81</v>
      </c>
      <c r="BS9" s="251" t="s">
        <v>288</v>
      </c>
      <c r="BT9" s="251" t="s">
        <v>289</v>
      </c>
      <c r="BU9" s="251" t="s">
        <v>290</v>
      </c>
      <c r="BV9" s="251">
        <v>5</v>
      </c>
      <c r="BW9" s="258" t="str">
        <f>IF(ISBLANK(背包!B23),,INDEX($BQ$2:$BV$40,MATCH(背包!B23&amp;"*",$BQ$2:$BQ$40,0),1))&amp;""</f>
        <v/>
      </c>
      <c r="BX9" s="251" t="str">
        <f t="shared" si="2"/>
        <v/>
      </c>
      <c r="BY9" s="251" t="str">
        <f t="shared" si="3"/>
        <v/>
      </c>
      <c r="BZ9" s="251" t="str">
        <f t="shared" si="4"/>
        <v/>
      </c>
      <c r="CA9" s="251" t="str">
        <f t="shared" si="5"/>
        <v/>
      </c>
      <c r="CC9" s="263">
        <v>23000</v>
      </c>
      <c r="CD9" s="241">
        <v>7</v>
      </c>
      <c r="CE9" s="240" t="s">
        <v>291</v>
      </c>
      <c r="CF9" s="240">
        <v>7</v>
      </c>
      <c r="CG9" s="263">
        <v>8</v>
      </c>
      <c r="CH9" s="240">
        <v>3</v>
      </c>
      <c r="CI9" s="263">
        <v>4</v>
      </c>
      <c r="CJ9" s="241">
        <v>2</v>
      </c>
    </row>
    <row r="10" spans="1:88" ht="16.5" customHeight="1" x14ac:dyDescent="0.25">
      <c r="A10" s="239">
        <v>9</v>
      </c>
      <c r="B10" s="240" t="str">
        <f>IF(法术书!X11="","",法术书!X11)</f>
        <v/>
      </c>
      <c r="C10" s="240" t="str">
        <f>IFERROR(VLOOKUP(B10,法术大全!$A:$Y,5,FALSE),"")</f>
        <v/>
      </c>
      <c r="D10" s="241" t="str">
        <f>IFERROR(VLOOKUP(B10,法术大全!$A:$Y,4,FALSE),"")</f>
        <v/>
      </c>
      <c r="E10" s="239">
        <v>9</v>
      </c>
      <c r="F10" s="242" t="str">
        <f t="shared" si="0"/>
        <v/>
      </c>
      <c r="G10" s="243" t="s">
        <v>292</v>
      </c>
      <c r="H10" s="245" t="str">
        <f>IF(主要!Q67&lt;&gt;"",主要!Q67,"")</f>
        <v/>
      </c>
      <c r="I10" s="240">
        <f>IF(VLOOKUP(H10,法术大全!$A$3:$E$594,4,0)="√",1,0)</f>
        <v>0</v>
      </c>
      <c r="J10" s="240">
        <f>IF(VLOOKUP(H10,法术大全!$A$3:$E$594,5,0)="√",1,0)</f>
        <v>0</v>
      </c>
      <c r="L10" s="251" t="s">
        <v>293</v>
      </c>
      <c r="N10" s="252" t="s">
        <v>4324</v>
      </c>
      <c r="O10" s="253">
        <v>2</v>
      </c>
      <c r="P10" s="253">
        <v>3</v>
      </c>
      <c r="Q10" s="253">
        <v>4</v>
      </c>
      <c r="R10" s="253">
        <v>5</v>
      </c>
      <c r="S10" s="253">
        <v>6</v>
      </c>
      <c r="T10" s="253">
        <v>6</v>
      </c>
      <c r="U10" s="253">
        <v>7</v>
      </c>
      <c r="V10" s="253">
        <v>7</v>
      </c>
      <c r="W10" s="253">
        <v>9</v>
      </c>
      <c r="X10" s="253">
        <v>9</v>
      </c>
      <c r="Y10" s="253">
        <v>10</v>
      </c>
      <c r="Z10" s="253">
        <v>10</v>
      </c>
      <c r="AA10" s="253">
        <v>11</v>
      </c>
      <c r="AB10" s="253">
        <v>11</v>
      </c>
      <c r="AC10" s="253">
        <v>12</v>
      </c>
      <c r="AD10" s="253">
        <v>12</v>
      </c>
      <c r="AE10" s="253">
        <v>14</v>
      </c>
      <c r="AF10" s="253">
        <v>14</v>
      </c>
      <c r="AG10" s="253">
        <v>15</v>
      </c>
      <c r="AH10" s="253">
        <v>15</v>
      </c>
      <c r="AI10" s="253"/>
      <c r="AJ10" s="253"/>
      <c r="AK10" s="442"/>
      <c r="AL10" s="442"/>
      <c r="AM10" s="442"/>
      <c r="AN10" s="442"/>
      <c r="AO10" s="442"/>
      <c r="AP10" s="442"/>
      <c r="AQ10" s="442"/>
      <c r="AR10" s="442"/>
      <c r="AS10" s="442"/>
      <c r="AT10" s="442"/>
      <c r="AU10" s="442"/>
      <c r="AV10" s="442"/>
      <c r="AW10" s="442"/>
      <c r="AX10" s="442"/>
      <c r="AY10" s="442"/>
      <c r="AZ10" s="442"/>
      <c r="BA10" s="442"/>
      <c r="BB10" s="442"/>
      <c r="BC10" s="442"/>
      <c r="BD10" s="442"/>
      <c r="BE10" s="442"/>
      <c r="BF10" s="442"/>
      <c r="BH10" s="259" t="s">
        <v>294</v>
      </c>
      <c r="BI10" s="259" t="s">
        <v>295</v>
      </c>
      <c r="BJ10" s="259" t="s">
        <v>244</v>
      </c>
      <c r="BK10" s="259">
        <v>1</v>
      </c>
      <c r="BL10" s="258" t="str">
        <f>IF(ISBLANK(背包!B13),,INDEX($BH$2:$BK$97,MATCH(背包!B13&amp;"*",$BH$2:$BH$97,0),1))&amp;""</f>
        <v/>
      </c>
      <c r="BM10" s="251" t="str">
        <f>IF(ISBLANK(背包!B13),,INDEX($BI$2:$BK$97,MATCH(背包!B13&amp;"*",$BH$2:$BH$97,0),1))&amp;""</f>
        <v/>
      </c>
      <c r="BN10" s="251" t="str">
        <f t="shared" si="1"/>
        <v/>
      </c>
      <c r="BO10" s="251"/>
      <c r="BQ10" s="251" t="s">
        <v>296</v>
      </c>
      <c r="BR10" s="251" t="s">
        <v>81</v>
      </c>
      <c r="BS10" s="251" t="s">
        <v>297</v>
      </c>
      <c r="BT10" s="251" t="s">
        <v>298</v>
      </c>
      <c r="BU10" s="251" t="s">
        <v>219</v>
      </c>
      <c r="BV10" s="251">
        <v>2</v>
      </c>
      <c r="BW10" s="258" t="str">
        <f>IF(ISBLANK(背包!B24),,INDEX($BQ$2:$BV$40,MATCH(背包!B24&amp;"*",$BQ$2:$BQ$40,0),1))&amp;""</f>
        <v/>
      </c>
      <c r="BX10" s="251" t="str">
        <f t="shared" si="2"/>
        <v/>
      </c>
      <c r="BY10" s="251" t="str">
        <f t="shared" si="3"/>
        <v/>
      </c>
      <c r="BZ10" s="251" t="str">
        <f t="shared" si="4"/>
        <v/>
      </c>
      <c r="CA10" s="251" t="str">
        <f t="shared" si="5"/>
        <v/>
      </c>
      <c r="CC10" s="263">
        <v>34000</v>
      </c>
      <c r="CD10" s="241">
        <v>8</v>
      </c>
      <c r="CE10" s="240" t="s">
        <v>299</v>
      </c>
      <c r="CF10" s="240">
        <v>8</v>
      </c>
      <c r="CG10" s="263">
        <v>9</v>
      </c>
      <c r="CH10" s="240">
        <v>4</v>
      </c>
      <c r="CI10" s="263">
        <v>5</v>
      </c>
      <c r="CJ10" s="241">
        <v>3</v>
      </c>
    </row>
    <row r="11" spans="1:88" ht="16.5" customHeight="1" x14ac:dyDescent="0.25">
      <c r="A11" s="239">
        <v>10</v>
      </c>
      <c r="B11" s="240" t="str">
        <f>IF(法术书!X12="","",法术书!X12)</f>
        <v/>
      </c>
      <c r="C11" s="240" t="str">
        <f>IFERROR(VLOOKUP(B11,法术大全!$A:$Y,5,FALSE),"")</f>
        <v/>
      </c>
      <c r="D11" s="241" t="str">
        <f>IFERROR(VLOOKUP(B11,法术大全!$A:$Y,4,FALSE),"")</f>
        <v/>
      </c>
      <c r="E11" s="239">
        <v>10</v>
      </c>
      <c r="F11" s="242" t="str">
        <f t="shared" si="0"/>
        <v/>
      </c>
      <c r="G11" s="243"/>
      <c r="H11" s="245" t="str">
        <f>IF(主要!Q68&lt;&gt;"",主要!Q68,"")</f>
        <v/>
      </c>
      <c r="I11" s="240">
        <f>IF(VLOOKUP(H11,法术大全!$A$3:$E$594,4,0)="√",1,0)</f>
        <v>0</v>
      </c>
      <c r="J11" s="240">
        <f>IF(VLOOKUP(H11,法术大全!$A$3:$E$594,5,0)="√",1,0)</f>
        <v>0</v>
      </c>
      <c r="L11" s="251" t="s">
        <v>300</v>
      </c>
      <c r="AK11" s="442"/>
      <c r="AL11" s="442"/>
      <c r="AM11" s="442"/>
      <c r="AN11" s="442"/>
      <c r="AO11" s="442"/>
      <c r="AP11" s="442"/>
      <c r="AQ11" s="442"/>
      <c r="AR11" s="442"/>
      <c r="AS11" s="442"/>
      <c r="AT11" s="442"/>
      <c r="AU11" s="442"/>
      <c r="AV11" s="442"/>
      <c r="AW11" s="442"/>
      <c r="AX11" s="442"/>
      <c r="AY11" s="442"/>
      <c r="AZ11" s="442"/>
      <c r="BA11" s="442"/>
      <c r="BB11" s="442"/>
      <c r="BC11" s="442"/>
      <c r="BD11" s="442"/>
      <c r="BE11" s="442"/>
      <c r="BF11" s="442"/>
      <c r="BH11" s="251" t="s">
        <v>301</v>
      </c>
      <c r="BI11" s="251" t="s">
        <v>295</v>
      </c>
      <c r="BJ11" s="251" t="s">
        <v>233</v>
      </c>
      <c r="BK11" s="251">
        <v>3</v>
      </c>
      <c r="BL11" s="260" t="str">
        <f>IF(ISBLANK(背包!B14),,INDEX($BH$2:$BK$97,MATCH(背包!B14&amp;"*",$BH$2:$BH$97,0),1))&amp;""</f>
        <v/>
      </c>
      <c r="BM11" s="251" t="str">
        <f>IF(ISBLANK(背包!B14),,INDEX($BI$2:$BK$97,MATCH(背包!B14&amp;"*",$BH$2:$BH$97,0),1))&amp;""</f>
        <v/>
      </c>
      <c r="BN11" s="251" t="str">
        <f t="shared" si="1"/>
        <v/>
      </c>
      <c r="BO11" s="251"/>
      <c r="BQ11" s="251" t="s">
        <v>302</v>
      </c>
      <c r="BR11" s="251" t="s">
        <v>79</v>
      </c>
      <c r="BS11" s="251" t="s">
        <v>303</v>
      </c>
      <c r="BT11" s="251" t="s">
        <v>304</v>
      </c>
      <c r="BU11" s="251" t="s">
        <v>274</v>
      </c>
      <c r="BV11" s="251">
        <v>5</v>
      </c>
      <c r="BW11" s="260" t="str">
        <f>IF(ISBLANK(背包!B25),,INDEX($BQ$2:$BV$40,MATCH(背包!B25&amp;"*",$BQ$2:$BQ$40,0),1))&amp;""</f>
        <v/>
      </c>
      <c r="BX11" s="251" t="str">
        <f t="shared" si="2"/>
        <v/>
      </c>
      <c r="BY11" s="251" t="str">
        <f t="shared" si="3"/>
        <v/>
      </c>
      <c r="BZ11" s="251" t="str">
        <f t="shared" si="4"/>
        <v/>
      </c>
      <c r="CA11" s="251" t="str">
        <f t="shared" si="5"/>
        <v/>
      </c>
      <c r="CC11" s="263">
        <v>48000</v>
      </c>
      <c r="CD11" s="241">
        <v>9</v>
      </c>
      <c r="CE11" s="250" t="s">
        <v>305</v>
      </c>
      <c r="CF11" s="250">
        <v>9</v>
      </c>
      <c r="CG11" s="263">
        <v>10</v>
      </c>
      <c r="CH11" s="240">
        <v>4</v>
      </c>
      <c r="CI11" s="263">
        <v>6</v>
      </c>
      <c r="CJ11" s="241">
        <v>3</v>
      </c>
    </row>
    <row r="12" spans="1:88" ht="16.5" customHeight="1" x14ac:dyDescent="0.25">
      <c r="A12" s="239">
        <v>11</v>
      </c>
      <c r="B12" s="240" t="str">
        <f>IF(法术书!X13="","",法术书!X13)</f>
        <v/>
      </c>
      <c r="C12" s="240" t="str">
        <f>IFERROR(VLOOKUP(B12,法术大全!$A:$Y,5,FALSE),"")</f>
        <v/>
      </c>
      <c r="D12" s="241" t="str">
        <f>IFERROR(VLOOKUP(B12,法术大全!$A:$Y,4,FALSE),"")</f>
        <v/>
      </c>
      <c r="E12" s="239">
        <v>11</v>
      </c>
      <c r="F12" s="242" t="str">
        <f t="shared" si="0"/>
        <v/>
      </c>
      <c r="G12" s="243"/>
      <c r="H12" s="245" t="str">
        <f>IF(主要!Q69&lt;&gt;"",主要!Q69,"")</f>
        <v/>
      </c>
      <c r="I12" s="240">
        <f>IF(VLOOKUP(H12,法术大全!$A$3:$E$594,4,0)="√",1,0)</f>
        <v>0</v>
      </c>
      <c r="J12" s="240">
        <f>IF(VLOOKUP(H12,法术大全!$A$3:$E$594,5,0)="√",1,0)</f>
        <v>0</v>
      </c>
      <c r="L12" s="251" t="s">
        <v>306</v>
      </c>
      <c r="N12" s="240" t="s">
        <v>56</v>
      </c>
      <c r="O12" s="240" t="str">
        <f>IF(主要!E6="","",主要!E6)</f>
        <v/>
      </c>
      <c r="AK12" s="442"/>
      <c r="AL12" s="442"/>
      <c r="AM12" s="442"/>
      <c r="AN12" s="442"/>
      <c r="AO12" s="442"/>
      <c r="AP12" s="442"/>
      <c r="AQ12" s="442"/>
      <c r="AR12" s="442"/>
      <c r="AS12" s="442"/>
      <c r="AT12" s="442"/>
      <c r="AU12" s="442"/>
      <c r="AV12" s="442"/>
      <c r="AW12" s="442"/>
      <c r="AX12" s="442"/>
      <c r="AY12" s="442"/>
      <c r="AZ12" s="442"/>
      <c r="BA12" s="442"/>
      <c r="BB12" s="442"/>
      <c r="BC12" s="442"/>
      <c r="BD12" s="442"/>
      <c r="BE12" s="442"/>
      <c r="BF12" s="442"/>
      <c r="BH12" s="259" t="s">
        <v>307</v>
      </c>
      <c r="BI12" s="259" t="s">
        <v>295</v>
      </c>
      <c r="BJ12" s="259" t="s">
        <v>244</v>
      </c>
      <c r="BK12" s="259">
        <v>2</v>
      </c>
      <c r="BL12" s="251"/>
      <c r="BM12" s="251"/>
      <c r="BN12" s="251"/>
      <c r="BO12" s="251"/>
      <c r="BQ12" s="251" t="s">
        <v>308</v>
      </c>
      <c r="BR12" s="251" t="s">
        <v>77</v>
      </c>
      <c r="BS12" s="251" t="s">
        <v>309</v>
      </c>
      <c r="BT12" s="251" t="s">
        <v>310</v>
      </c>
      <c r="BU12" s="251" t="s">
        <v>244</v>
      </c>
      <c r="BV12" s="251">
        <v>8</v>
      </c>
      <c r="BW12" s="251"/>
      <c r="BX12" s="251"/>
      <c r="BY12" s="251"/>
      <c r="BZ12" s="251"/>
      <c r="CA12" s="251"/>
      <c r="CC12" s="263">
        <v>64000</v>
      </c>
      <c r="CD12" s="241">
        <v>10</v>
      </c>
      <c r="CG12" s="263">
        <v>11</v>
      </c>
      <c r="CH12" s="240">
        <v>4</v>
      </c>
      <c r="CI12" s="263">
        <v>7</v>
      </c>
      <c r="CJ12" s="241">
        <v>3</v>
      </c>
    </row>
    <row r="13" spans="1:88" ht="16.5" customHeight="1" x14ac:dyDescent="0.25">
      <c r="A13" s="239">
        <v>12</v>
      </c>
      <c r="B13" s="240" t="str">
        <f>IF(法术书!X14="","",法术书!X14)</f>
        <v/>
      </c>
      <c r="C13" s="240" t="str">
        <f>IFERROR(VLOOKUP(B13,法术大全!$A:$Y,5,FALSE),"")</f>
        <v/>
      </c>
      <c r="D13" s="241" t="str">
        <f>IFERROR(VLOOKUP(B13,法术大全!$A:$Y,4,FALSE),"")</f>
        <v/>
      </c>
      <c r="E13" s="239">
        <v>12</v>
      </c>
      <c r="F13" s="242" t="str">
        <f t="shared" si="0"/>
        <v/>
      </c>
      <c r="G13" s="243"/>
      <c r="H13" s="245" t="str">
        <f>IF(主要!Q70&lt;&gt;"",主要!Q70,"")</f>
        <v/>
      </c>
      <c r="I13" s="240">
        <f>IF(VLOOKUP(H13,法术大全!$A$3:$E$594,4,0)="√",1,0)</f>
        <v>0</v>
      </c>
      <c r="J13" s="240">
        <f>IF(VLOOKUP(H13,法术大全!$A$3:$E$594,5,0)="√",1,0)</f>
        <v>0</v>
      </c>
      <c r="L13" s="251" t="s">
        <v>311</v>
      </c>
      <c r="N13" s="240" t="s">
        <v>61</v>
      </c>
      <c r="O13" s="240" t="str">
        <f>IF(主要!E7="","",主要!E7)</f>
        <v/>
      </c>
      <c r="AK13" s="442"/>
      <c r="AL13" s="442"/>
      <c r="AM13" s="442"/>
      <c r="AN13" s="442"/>
      <c r="AO13" s="442"/>
      <c r="AP13" s="442"/>
      <c r="AQ13" s="442"/>
      <c r="AR13" s="442"/>
      <c r="AS13" s="442"/>
      <c r="AT13" s="442"/>
      <c r="AU13" s="442"/>
      <c r="AV13" s="442"/>
      <c r="AW13" s="442"/>
      <c r="AX13" s="442"/>
      <c r="AY13" s="442"/>
      <c r="AZ13" s="442"/>
      <c r="BA13" s="442"/>
      <c r="BB13" s="442"/>
      <c r="BC13" s="442"/>
      <c r="BD13" s="442"/>
      <c r="BE13" s="442"/>
      <c r="BF13" s="442"/>
      <c r="BH13" s="251" t="s">
        <v>312</v>
      </c>
      <c r="BI13" s="251" t="s">
        <v>295</v>
      </c>
      <c r="BJ13" s="251" t="s">
        <v>274</v>
      </c>
      <c r="BK13" s="251">
        <v>4</v>
      </c>
      <c r="BL13" s="240" t="s">
        <v>156</v>
      </c>
      <c r="BM13" s="251" t="s">
        <v>157</v>
      </c>
      <c r="BN13" s="251" t="s">
        <v>170</v>
      </c>
      <c r="BO13" s="251"/>
      <c r="BQ13" s="251" t="s">
        <v>313</v>
      </c>
      <c r="BR13" s="251" t="s">
        <v>82</v>
      </c>
      <c r="BS13" s="251" t="s">
        <v>314</v>
      </c>
      <c r="BT13" s="251" t="s">
        <v>315</v>
      </c>
      <c r="BU13" s="251" t="s">
        <v>244</v>
      </c>
      <c r="BV13" s="251">
        <v>5</v>
      </c>
      <c r="CC13" s="267">
        <v>85000</v>
      </c>
      <c r="CD13" s="268">
        <v>11</v>
      </c>
      <c r="CG13" s="263">
        <v>12</v>
      </c>
      <c r="CH13" s="240">
        <v>4</v>
      </c>
      <c r="CI13" s="263">
        <v>8</v>
      </c>
      <c r="CJ13" s="241">
        <v>3</v>
      </c>
    </row>
    <row r="14" spans="1:88" ht="16.5" customHeight="1" x14ac:dyDescent="0.25">
      <c r="A14" s="239">
        <v>13</v>
      </c>
      <c r="B14" s="240" t="str">
        <f>IF(法术书!X15="","",法术书!X15)</f>
        <v/>
      </c>
      <c r="C14" s="240" t="str">
        <f>IFERROR(VLOOKUP(B14,法术大全!$A:$Y,5,FALSE),"")</f>
        <v/>
      </c>
      <c r="D14" s="241" t="str">
        <f>IFERROR(VLOOKUP(B14,法术大全!$A:$Y,4,FALSE),"")</f>
        <v/>
      </c>
      <c r="E14" s="239">
        <v>13</v>
      </c>
      <c r="F14" s="242" t="str">
        <f t="shared" si="0"/>
        <v/>
      </c>
      <c r="G14" s="243"/>
      <c r="H14" s="245" t="str">
        <f>IF(主要!Q71&lt;&gt;"",主要!Q71,"")</f>
        <v/>
      </c>
      <c r="I14" s="240">
        <f>IF(VLOOKUP(H14,法术大全!$A$3:$E$594,4,0)="√",1,0)</f>
        <v>0</v>
      </c>
      <c r="J14" s="240">
        <f>IF(VLOOKUP(H14,法术大全!$A$3:$E$594,5,0)="√",1,0)</f>
        <v>0</v>
      </c>
      <c r="L14" s="251" t="s">
        <v>316</v>
      </c>
      <c r="N14" s="240" t="s">
        <v>63</v>
      </c>
      <c r="O14" s="240" t="str">
        <f>IF(主要!E8="","",主要!E8)</f>
        <v/>
      </c>
      <c r="BH14" s="259" t="s">
        <v>317</v>
      </c>
      <c r="BI14" s="259" t="s">
        <v>295</v>
      </c>
      <c r="BJ14" s="259" t="s">
        <v>244</v>
      </c>
      <c r="BK14" s="259">
        <v>1</v>
      </c>
      <c r="BL14" s="251">
        <f>背包!AP5*IF(ISBLANK(背包!AS5),1,背包!AS5)</f>
        <v>0</v>
      </c>
      <c r="BM14" s="240">
        <f>背包!S29*IF(ISBLANK(背包!V29),1,背包!V29)</f>
        <v>0</v>
      </c>
      <c r="BN14" s="251">
        <f>背包!AP29*IF(ISBLANK(背包!AS29),1,背包!AS29)</f>
        <v>0</v>
      </c>
      <c r="BO14" s="251"/>
      <c r="BQ14" s="251" t="s">
        <v>318</v>
      </c>
      <c r="BR14" s="251" t="s">
        <v>81</v>
      </c>
      <c r="BS14" s="251" t="s">
        <v>319</v>
      </c>
      <c r="BT14" s="251" t="s">
        <v>320</v>
      </c>
      <c r="BU14" s="251" t="s">
        <v>244</v>
      </c>
      <c r="BV14" s="251">
        <v>3</v>
      </c>
      <c r="CC14" s="267">
        <v>100000</v>
      </c>
      <c r="CD14" s="268">
        <v>12</v>
      </c>
      <c r="CG14" s="263">
        <v>13</v>
      </c>
      <c r="CH14" s="240">
        <v>5</v>
      </c>
      <c r="CI14" s="263">
        <v>9</v>
      </c>
      <c r="CJ14" s="241">
        <v>4</v>
      </c>
    </row>
    <row r="15" spans="1:88" ht="16.5" customHeight="1" x14ac:dyDescent="0.25">
      <c r="A15" s="239">
        <v>14</v>
      </c>
      <c r="B15" s="240" t="str">
        <f>IF(法术书!X16="","",法术书!X16)</f>
        <v/>
      </c>
      <c r="C15" s="240" t="str">
        <f>IFERROR(VLOOKUP(B15,法术大全!$A:$Y,5,FALSE),"")</f>
        <v/>
      </c>
      <c r="D15" s="241" t="str">
        <f>IFERROR(VLOOKUP(B15,法术大全!$A:$Y,4,FALSE),"")</f>
        <v/>
      </c>
      <c r="E15" s="239">
        <v>14</v>
      </c>
      <c r="F15" s="242" t="str">
        <f t="shared" si="0"/>
        <v/>
      </c>
      <c r="G15" s="243" t="s">
        <v>321</v>
      </c>
      <c r="H15" s="245" t="str">
        <f>IF(主要!Y67&lt;&gt;"",主要!Y67,"")</f>
        <v/>
      </c>
      <c r="I15" s="240">
        <f>IF(VLOOKUP(H15,法术大全!$A$3:$E$594,4,0)="√",1,0)</f>
        <v>0</v>
      </c>
      <c r="J15" s="240">
        <f>IF(VLOOKUP(H15,法术大全!$A$3:$E$594,5,0)="√",1,0)</f>
        <v>0</v>
      </c>
      <c r="L15" s="251" t="s">
        <v>322</v>
      </c>
      <c r="N15" s="247" t="str">
        <f>IFERROR(IF(主要!B60="主职业",VLOOKUP(O12,N1:AH10,主要!O6+1,IF(主要!B60="兼职1",VLOOKUP(O13,N1:AH10,主要!O7+1,IF(主要!B60="兼职2",VLOOKUP(O14,N1:AH10,主要!O8+1,0)))))),"")</f>
        <v/>
      </c>
      <c r="BH15" s="251" t="s">
        <v>323</v>
      </c>
      <c r="BI15" s="251" t="s">
        <v>324</v>
      </c>
      <c r="BJ15" s="251" t="s">
        <v>325</v>
      </c>
      <c r="BK15" s="251">
        <v>5</v>
      </c>
      <c r="BL15" s="251">
        <f>背包!AP6*IF(ISBLANK(背包!AS6),1,背包!AS6)</f>
        <v>0</v>
      </c>
      <c r="BM15" s="240">
        <f>背包!S30*IF(ISBLANK(背包!V30),1,背包!V30)</f>
        <v>0</v>
      </c>
      <c r="BN15" s="251">
        <f>背包!AP30*IF(ISBLANK(背包!AS30),1,背包!AS30)</f>
        <v>0</v>
      </c>
      <c r="BO15" s="251"/>
      <c r="BQ15" s="251" t="s">
        <v>326</v>
      </c>
      <c r="BR15" s="251" t="s">
        <v>77</v>
      </c>
      <c r="BS15" s="251" t="s">
        <v>327</v>
      </c>
      <c r="BT15" s="251" t="s">
        <v>328</v>
      </c>
      <c r="BU15" s="251" t="s">
        <v>233</v>
      </c>
      <c r="BV15" s="251">
        <v>8</v>
      </c>
      <c r="CC15" s="267">
        <v>120000</v>
      </c>
      <c r="CD15" s="268">
        <v>13</v>
      </c>
      <c r="CF15" s="240" t="s">
        <v>99</v>
      </c>
      <c r="CG15" s="263">
        <v>14</v>
      </c>
      <c r="CH15" s="240">
        <v>5</v>
      </c>
      <c r="CI15" s="263">
        <v>10</v>
      </c>
      <c r="CJ15" s="241">
        <v>4</v>
      </c>
    </row>
    <row r="16" spans="1:88" ht="16.5" customHeight="1" x14ac:dyDescent="0.25">
      <c r="A16" s="239">
        <v>15</v>
      </c>
      <c r="B16" s="240" t="str">
        <f>IF(法术书!X17="","",法术书!X17)</f>
        <v/>
      </c>
      <c r="C16" s="240" t="str">
        <f>IFERROR(VLOOKUP(B16,法术大全!$A:$Y,5,FALSE),"")</f>
        <v/>
      </c>
      <c r="D16" s="241" t="str">
        <f>IFERROR(VLOOKUP(B16,法术大全!$A:$Y,4,FALSE),"")</f>
        <v/>
      </c>
      <c r="E16" s="239">
        <v>15</v>
      </c>
      <c r="F16" s="242" t="str">
        <f t="shared" si="0"/>
        <v/>
      </c>
      <c r="G16" s="243"/>
      <c r="H16" s="245" t="str">
        <f>IF(主要!Y68&lt;&gt;"",主要!Y68,"")</f>
        <v/>
      </c>
      <c r="I16" s="240">
        <f>IF(VLOOKUP(H16,法术大全!$A$3:$E$594,4,0)="√",1,0)</f>
        <v>0</v>
      </c>
      <c r="J16" s="240">
        <f>IF(VLOOKUP(H16,法术大全!$A$3:$E$594,5,0)="√",1,0)</f>
        <v>0</v>
      </c>
      <c r="L16" s="251" t="s">
        <v>329</v>
      </c>
      <c r="BH16" s="256" t="s">
        <v>330</v>
      </c>
      <c r="BI16" s="256" t="s">
        <v>331</v>
      </c>
      <c r="BJ16" s="256" t="s">
        <v>240</v>
      </c>
      <c r="BK16" s="256">
        <v>2</v>
      </c>
      <c r="BL16" s="251">
        <f>背包!AP7*IF(ISBLANK(背包!AS7),1,背包!AS7)</f>
        <v>0</v>
      </c>
      <c r="BM16" s="240">
        <f>背包!S31*IF(ISBLANK(背包!V31),1,背包!V31)</f>
        <v>0</v>
      </c>
      <c r="BN16" s="251">
        <f>背包!AP31*IF(ISBLANK(背包!AS31),1,背包!AS31)</f>
        <v>0</v>
      </c>
      <c r="BQ16" s="251" t="s">
        <v>332</v>
      </c>
      <c r="BR16" s="251" t="s">
        <v>79</v>
      </c>
      <c r="BS16" s="251" t="s">
        <v>333</v>
      </c>
      <c r="BT16" s="251" t="s">
        <v>334</v>
      </c>
      <c r="BU16" s="251" t="s">
        <v>223</v>
      </c>
      <c r="BV16" s="251">
        <v>10</v>
      </c>
      <c r="CC16" s="267">
        <v>140000</v>
      </c>
      <c r="CD16" s="268">
        <v>14</v>
      </c>
      <c r="CF16" s="240" t="s">
        <v>335</v>
      </c>
      <c r="CG16" s="263">
        <v>15</v>
      </c>
      <c r="CH16" s="240">
        <v>5</v>
      </c>
      <c r="CI16" s="263">
        <v>11</v>
      </c>
      <c r="CJ16" s="241">
        <v>4</v>
      </c>
    </row>
    <row r="17" spans="1:88" ht="16.5" customHeight="1" x14ac:dyDescent="0.25">
      <c r="A17" s="239">
        <v>16</v>
      </c>
      <c r="B17" s="240" t="str">
        <f>IF(法术书!X18="","",法术书!X18)</f>
        <v/>
      </c>
      <c r="C17" s="240" t="str">
        <f>IFERROR(VLOOKUP(B17,法术大全!$A:$Y,5,FALSE),"")</f>
        <v/>
      </c>
      <c r="D17" s="241" t="str">
        <f>IFERROR(VLOOKUP(B17,法术大全!$A:$Y,4,FALSE),"")</f>
        <v/>
      </c>
      <c r="E17" s="239">
        <v>16</v>
      </c>
      <c r="F17" s="242" t="str">
        <f t="shared" si="0"/>
        <v/>
      </c>
      <c r="G17" s="243"/>
      <c r="H17" s="245" t="str">
        <f>IF(主要!Y69&lt;&gt;"",主要!Y69,"")</f>
        <v/>
      </c>
      <c r="I17" s="240">
        <f>IF(VLOOKUP(H17,法术大全!$A$3:$E$594,4,0)="√",1,0)</f>
        <v>0</v>
      </c>
      <c r="J17" s="240">
        <f>IF(VLOOKUP(H17,法术大全!$A$3:$E$594,5,0)="√",1,0)</f>
        <v>0</v>
      </c>
      <c r="L17" s="251" t="s">
        <v>336</v>
      </c>
      <c r="BH17" s="251" t="s">
        <v>337</v>
      </c>
      <c r="BI17" s="251" t="s">
        <v>338</v>
      </c>
      <c r="BJ17" s="251" t="s">
        <v>325</v>
      </c>
      <c r="BK17" s="251">
        <v>70</v>
      </c>
      <c r="BL17" s="251">
        <f>背包!AP8*IF(ISBLANK(背包!AS8),1,背包!AS8)</f>
        <v>0</v>
      </c>
      <c r="BM17" s="240">
        <f>背包!S32*IF(ISBLANK(背包!V32),1,背包!V32)</f>
        <v>0</v>
      </c>
      <c r="BN17" s="251">
        <f>背包!AP32*IF(ISBLANK(背包!AS32),1,背包!AS32)</f>
        <v>0</v>
      </c>
      <c r="BQ17" s="251" t="s">
        <v>339</v>
      </c>
      <c r="BR17" s="251" t="s">
        <v>79</v>
      </c>
      <c r="BS17" s="251" t="s">
        <v>340</v>
      </c>
      <c r="BT17" s="251" t="s">
        <v>341</v>
      </c>
      <c r="BU17" s="251" t="s">
        <v>240</v>
      </c>
      <c r="BV17" s="251">
        <v>5</v>
      </c>
      <c r="CC17" s="267">
        <v>165000</v>
      </c>
      <c r="CD17" s="268">
        <v>15</v>
      </c>
      <c r="CF17" s="240" t="s">
        <v>342</v>
      </c>
      <c r="CG17" s="263">
        <v>16</v>
      </c>
      <c r="CH17" s="240">
        <v>5</v>
      </c>
      <c r="CI17" s="263">
        <v>12</v>
      </c>
      <c r="CJ17" s="241">
        <v>4</v>
      </c>
    </row>
    <row r="18" spans="1:88" ht="16.5" customHeight="1" x14ac:dyDescent="0.25">
      <c r="A18" s="239">
        <v>17</v>
      </c>
      <c r="B18" s="240" t="str">
        <f>IF(法术书!X19="","",法术书!X19)</f>
        <v/>
      </c>
      <c r="C18" s="240" t="str">
        <f>IFERROR(VLOOKUP(B18,法术大全!$A:$Y,5,FALSE),"")</f>
        <v/>
      </c>
      <c r="D18" s="241" t="str">
        <f>IFERROR(VLOOKUP(B18,法术大全!$A:$Y,4,FALSE),"")</f>
        <v/>
      </c>
      <c r="E18" s="239">
        <v>17</v>
      </c>
      <c r="F18" s="242" t="str">
        <f t="shared" si="0"/>
        <v/>
      </c>
      <c r="G18" s="243"/>
      <c r="H18" s="245" t="str">
        <f>IF(主要!Y70&lt;&gt;"",主要!Y70,"")</f>
        <v/>
      </c>
      <c r="I18" s="240">
        <f>IF(VLOOKUP(H18,法术大全!$A$3:$E$594,4,0)="√",1,0)</f>
        <v>0</v>
      </c>
      <c r="J18" s="240">
        <f>IF(VLOOKUP(H18,法术大全!$A$3:$E$594,5,0)="√",1,0)</f>
        <v>0</v>
      </c>
      <c r="L18" s="251" t="s">
        <v>343</v>
      </c>
      <c r="BH18" s="256" t="s">
        <v>344</v>
      </c>
      <c r="BI18" s="256" t="s">
        <v>345</v>
      </c>
      <c r="BJ18" s="256" t="s">
        <v>346</v>
      </c>
      <c r="BK18" s="256">
        <v>2</v>
      </c>
      <c r="BL18" s="251">
        <f>背包!AP9*IF(ISBLANK(背包!AS9),1,背包!AS9)</f>
        <v>0</v>
      </c>
      <c r="BM18" s="240">
        <f>背包!S33*IF(ISBLANK(背包!V33),1,背包!V33)</f>
        <v>0</v>
      </c>
      <c r="BN18" s="251">
        <f>背包!AP33*IF(ISBLANK(背包!AS33),1,背包!AS33)</f>
        <v>0</v>
      </c>
      <c r="BQ18" s="248" t="s">
        <v>347</v>
      </c>
      <c r="BR18" s="248" t="s">
        <v>79</v>
      </c>
      <c r="BS18" s="248" t="s">
        <v>348</v>
      </c>
      <c r="BT18" s="248" t="s">
        <v>349</v>
      </c>
      <c r="BU18" s="248" t="s">
        <v>240</v>
      </c>
      <c r="BV18" s="248">
        <v>5</v>
      </c>
      <c r="CC18" s="267">
        <v>195000</v>
      </c>
      <c r="CD18" s="268">
        <v>16</v>
      </c>
      <c r="CF18" s="240" t="s">
        <v>100</v>
      </c>
      <c r="CG18" s="263">
        <v>17</v>
      </c>
      <c r="CH18" s="240">
        <v>6</v>
      </c>
      <c r="CI18" s="263">
        <v>13</v>
      </c>
      <c r="CJ18" s="241">
        <v>5</v>
      </c>
    </row>
    <row r="19" spans="1:88" ht="16.5" customHeight="1" x14ac:dyDescent="0.25">
      <c r="A19" s="239">
        <v>18</v>
      </c>
      <c r="B19" s="240" t="str">
        <f>IF(法术书!X20="","",法术书!X20)</f>
        <v/>
      </c>
      <c r="C19" s="240" t="str">
        <f>IFERROR(VLOOKUP(B19,法术大全!$A:$Y,5,FALSE),"")</f>
        <v/>
      </c>
      <c r="D19" s="241" t="str">
        <f>IFERROR(VLOOKUP(B19,法术大全!$A:$Y,4,FALSE),"")</f>
        <v/>
      </c>
      <c r="E19" s="239">
        <v>18</v>
      </c>
      <c r="F19" s="242" t="str">
        <f t="shared" si="0"/>
        <v/>
      </c>
      <c r="G19" s="243"/>
      <c r="H19" s="245" t="str">
        <f>IF(主要!Y71&lt;&gt;"",主要!Y71,"")</f>
        <v/>
      </c>
      <c r="I19" s="240">
        <f>IF(VLOOKUP(H19,法术大全!$A$3:$E$594,4,0)="√",1,0)</f>
        <v>0</v>
      </c>
      <c r="J19" s="240">
        <f>IF(VLOOKUP(H19,法术大全!$A$3:$E$594,5,0)="√",1,0)</f>
        <v>0</v>
      </c>
      <c r="L19" s="251" t="s">
        <v>350</v>
      </c>
      <c r="O19" s="320" t="s">
        <v>225</v>
      </c>
      <c r="P19" s="320" t="s">
        <v>2315</v>
      </c>
      <c r="Q19" s="320" t="s">
        <v>2251</v>
      </c>
      <c r="R19" s="320" t="s">
        <v>3801</v>
      </c>
      <c r="S19" s="320" t="s">
        <v>2292</v>
      </c>
      <c r="BH19" s="251" t="s">
        <v>351</v>
      </c>
      <c r="BI19" s="251" t="s">
        <v>352</v>
      </c>
      <c r="BJ19" s="251" t="s">
        <v>240</v>
      </c>
      <c r="BK19" s="251">
        <v>7</v>
      </c>
      <c r="BL19" s="251">
        <f>背包!AP10*IF(ISBLANK(背包!AS10),1,背包!AS10)</f>
        <v>0</v>
      </c>
      <c r="BM19" s="240">
        <f>背包!S34*IF(ISBLANK(背包!V34),1,背包!V34)</f>
        <v>0</v>
      </c>
      <c r="BN19" s="251">
        <f>背包!AP34*IF(ISBLANK(背包!AS34),1,背包!AS34)</f>
        <v>0</v>
      </c>
      <c r="BQ19" s="251" t="s">
        <v>353</v>
      </c>
      <c r="BR19" s="240" t="s">
        <v>83</v>
      </c>
      <c r="BS19" s="251" t="s">
        <v>354</v>
      </c>
      <c r="BT19" s="251" t="s">
        <v>355</v>
      </c>
      <c r="BU19" s="251" t="s">
        <v>219</v>
      </c>
      <c r="BV19" s="251">
        <v>3</v>
      </c>
      <c r="CC19" s="263">
        <v>225000</v>
      </c>
      <c r="CD19" s="241">
        <v>17</v>
      </c>
      <c r="CF19" s="240" t="s">
        <v>356</v>
      </c>
      <c r="CG19" s="263">
        <v>18</v>
      </c>
      <c r="CH19" s="240">
        <v>6</v>
      </c>
      <c r="CI19" s="263">
        <v>14</v>
      </c>
      <c r="CJ19" s="241">
        <v>5</v>
      </c>
    </row>
    <row r="20" spans="1:88" ht="16.5" customHeight="1" x14ac:dyDescent="0.25">
      <c r="A20" s="239">
        <v>19</v>
      </c>
      <c r="B20" s="240" t="str">
        <f>IF(法术书!X21="","",法术书!X21)</f>
        <v/>
      </c>
      <c r="C20" s="240" t="str">
        <f>IFERROR(VLOOKUP(B20,法术大全!$A:$Y,5,FALSE),"")</f>
        <v/>
      </c>
      <c r="D20" s="241" t="str">
        <f>IFERROR(VLOOKUP(B20,法术大全!$A:$Y,4,FALSE),"")</f>
        <v/>
      </c>
      <c r="E20" s="239">
        <v>19</v>
      </c>
      <c r="F20" s="242" t="str">
        <f t="shared" si="0"/>
        <v/>
      </c>
      <c r="G20" s="243" t="s">
        <v>357</v>
      </c>
      <c r="H20" s="246" t="str">
        <f>IF(主要!Y56&lt;&gt;"",主要!Y56,"")</f>
        <v/>
      </c>
      <c r="I20" s="240">
        <f>IF(VLOOKUP(H20,法术大全!$A$3:$E$594,4,0)="√",1,0)</f>
        <v>0</v>
      </c>
      <c r="J20" s="240">
        <f>IF(VLOOKUP(H20,法术大全!$A$3:$E$594,5,0)="√",1,0)</f>
        <v>0</v>
      </c>
      <c r="L20" s="251" t="s">
        <v>358</v>
      </c>
      <c r="O20" s="320">
        <v>1</v>
      </c>
      <c r="P20" s="320" t="s">
        <v>2288</v>
      </c>
      <c r="Q20" s="320" t="s">
        <v>2370</v>
      </c>
      <c r="R20" s="320" t="s">
        <v>2298</v>
      </c>
      <c r="S20" s="320" t="s">
        <v>2355</v>
      </c>
      <c r="BH20" s="256" t="s">
        <v>359</v>
      </c>
      <c r="BI20" s="256" t="s">
        <v>360</v>
      </c>
      <c r="BJ20" s="256" t="s">
        <v>240</v>
      </c>
      <c r="BK20" s="256">
        <v>0</v>
      </c>
      <c r="BL20" s="251">
        <f>背包!AP11*IF(ISBLANK(背包!AS11),1,背包!AS11)</f>
        <v>0</v>
      </c>
      <c r="BM20" s="240">
        <f>背包!S35*IF(ISBLANK(背包!V35),1,背包!V35)</f>
        <v>0</v>
      </c>
      <c r="BN20" s="251">
        <f>背包!AP35*IF(ISBLANK(背包!AS35),1,背包!AS35)</f>
        <v>0</v>
      </c>
      <c r="BQ20" s="251" t="s">
        <v>361</v>
      </c>
      <c r="BR20" s="240" t="s">
        <v>79</v>
      </c>
      <c r="BS20" s="251" t="s">
        <v>362</v>
      </c>
      <c r="BT20" s="251" t="s">
        <v>363</v>
      </c>
      <c r="BU20" s="251" t="s">
        <v>264</v>
      </c>
      <c r="BV20" s="251">
        <v>5</v>
      </c>
      <c r="CC20" s="263">
        <v>265000</v>
      </c>
      <c r="CD20" s="241">
        <v>18</v>
      </c>
      <c r="CF20" s="240" t="s">
        <v>364</v>
      </c>
      <c r="CG20" s="263">
        <v>19</v>
      </c>
      <c r="CH20" s="240">
        <v>6</v>
      </c>
      <c r="CI20" s="263">
        <v>15</v>
      </c>
      <c r="CJ20" s="241">
        <v>5</v>
      </c>
    </row>
    <row r="21" spans="1:88" ht="16.5" customHeight="1" x14ac:dyDescent="0.25">
      <c r="A21" s="239">
        <v>20</v>
      </c>
      <c r="B21" s="240" t="str">
        <f>IF(法术书!X22="","",法术书!X22)</f>
        <v/>
      </c>
      <c r="C21" s="240" t="str">
        <f>IFERROR(VLOOKUP(B21,法术大全!$A:$Y,5,FALSE),"")</f>
        <v/>
      </c>
      <c r="D21" s="241" t="str">
        <f>IFERROR(VLOOKUP(B21,法术大全!$A:$Y,4,FALSE),"")</f>
        <v/>
      </c>
      <c r="E21" s="239">
        <v>20</v>
      </c>
      <c r="F21" s="242" t="str">
        <f t="shared" si="0"/>
        <v/>
      </c>
      <c r="G21" s="243"/>
      <c r="H21" s="246" t="str">
        <f>IF(主要!Y57&lt;&gt;"",主要!Y57,"")</f>
        <v/>
      </c>
      <c r="I21" s="240">
        <f>IF(VLOOKUP(H21,法术大全!$A$3:$E$594,4,0)="√",1,0)</f>
        <v>0</v>
      </c>
      <c r="J21" s="240">
        <f>IF(VLOOKUP(H21,法术大全!$A$3:$E$594,5,0)="√",1,0)</f>
        <v>0</v>
      </c>
      <c r="L21" s="251" t="s">
        <v>365</v>
      </c>
      <c r="O21" s="320">
        <v>2</v>
      </c>
      <c r="P21" s="320" t="s">
        <v>2297</v>
      </c>
      <c r="Q21" s="320" t="s">
        <v>2343</v>
      </c>
      <c r="R21" s="320" t="s">
        <v>2394</v>
      </c>
      <c r="S21" s="320" t="s">
        <v>2343</v>
      </c>
      <c r="BH21" s="251" t="s">
        <v>366</v>
      </c>
      <c r="BI21" s="251" t="s">
        <v>367</v>
      </c>
      <c r="BJ21" s="251" t="s">
        <v>368</v>
      </c>
      <c r="BK21" s="251">
        <v>3</v>
      </c>
      <c r="BL21" s="251">
        <f>背包!AP12*IF(ISBLANK(背包!AS12),1,背包!AS12)</f>
        <v>0</v>
      </c>
      <c r="BM21" s="240">
        <f>背包!S36*IF(ISBLANK(背包!V36),1,背包!V36)</f>
        <v>0</v>
      </c>
      <c r="BN21" s="251">
        <f>背包!AP36*IF(ISBLANK(背包!AS36),1,背包!AS36)</f>
        <v>0</v>
      </c>
      <c r="BQ21" s="251" t="s">
        <v>369</v>
      </c>
      <c r="BR21" s="240" t="s">
        <v>82</v>
      </c>
      <c r="BS21" s="251" t="s">
        <v>370</v>
      </c>
      <c r="BT21" s="251" t="s">
        <v>363</v>
      </c>
      <c r="BU21" s="240" t="s">
        <v>363</v>
      </c>
      <c r="BV21" s="251">
        <v>0</v>
      </c>
      <c r="CC21" s="263">
        <v>305000</v>
      </c>
      <c r="CD21" s="241">
        <v>19</v>
      </c>
      <c r="CF21" s="240" t="s">
        <v>371</v>
      </c>
      <c r="CG21" s="269">
        <v>20</v>
      </c>
      <c r="CH21" s="250">
        <v>6</v>
      </c>
      <c r="CI21" s="263">
        <v>16</v>
      </c>
      <c r="CJ21" s="241">
        <v>5</v>
      </c>
    </row>
    <row r="22" spans="1:88" ht="16.5" customHeight="1" x14ac:dyDescent="0.25">
      <c r="A22" s="239">
        <v>21</v>
      </c>
      <c r="B22" s="240" t="str">
        <f>IF(法术书!X23="","",法术书!X23)</f>
        <v/>
      </c>
      <c r="C22" s="240" t="str">
        <f>IFERROR(VLOOKUP(B22,法术大全!$A:$Y,5,FALSE),"")</f>
        <v/>
      </c>
      <c r="D22" s="241" t="str">
        <f>IFERROR(VLOOKUP(B22,法术大全!$A:$Y,4,FALSE),"")</f>
        <v/>
      </c>
      <c r="E22" s="239">
        <v>21</v>
      </c>
      <c r="F22" s="242" t="str">
        <f t="shared" si="0"/>
        <v/>
      </c>
      <c r="G22" s="243"/>
      <c r="H22" s="246" t="str">
        <f>IF(主要!Y58&lt;&gt;"",主要!Y58,"")</f>
        <v/>
      </c>
      <c r="I22" s="240">
        <f>IF(VLOOKUP(H22,法术大全!$A$3:$E$594,4,0)="√",1,0)</f>
        <v>0</v>
      </c>
      <c r="J22" s="240">
        <f>IF(VLOOKUP(H22,法术大全!$A$3:$E$594,5,0)="√",1,0)</f>
        <v>0</v>
      </c>
      <c r="L22" s="251" t="s">
        <v>372</v>
      </c>
      <c r="O22" s="320">
        <v>3</v>
      </c>
      <c r="P22" s="320" t="s">
        <v>2303</v>
      </c>
      <c r="Q22" s="320" t="s">
        <v>2472</v>
      </c>
      <c r="R22" s="320" t="s">
        <v>2018</v>
      </c>
      <c r="S22" s="320" t="s">
        <v>2371</v>
      </c>
      <c r="BH22" s="256" t="s">
        <v>310</v>
      </c>
      <c r="BI22" s="256" t="s">
        <v>373</v>
      </c>
      <c r="BJ22" s="256" t="s">
        <v>240</v>
      </c>
      <c r="BK22" s="256">
        <v>5</v>
      </c>
      <c r="BL22" s="251">
        <f>背包!AP13*IF(ISBLANK(背包!AS13),1,背包!AS13)</f>
        <v>0</v>
      </c>
      <c r="BM22" s="240">
        <f>背包!S37*IF(ISBLANK(背包!V37),1,背包!V37)</f>
        <v>0</v>
      </c>
      <c r="BN22" s="251">
        <f>背包!AP37*IF(ISBLANK(背包!AS37),1,背包!AS37)</f>
        <v>0</v>
      </c>
      <c r="BQ22" s="240" t="s">
        <v>374</v>
      </c>
      <c r="BR22" s="240" t="s">
        <v>82</v>
      </c>
      <c r="BS22" s="251" t="s">
        <v>375</v>
      </c>
      <c r="BT22" s="251" t="s">
        <v>363</v>
      </c>
      <c r="BU22" s="251" t="s">
        <v>376</v>
      </c>
      <c r="BV22" s="251">
        <v>0</v>
      </c>
      <c r="CC22" s="269">
        <v>355000</v>
      </c>
      <c r="CD22" s="249">
        <v>20</v>
      </c>
      <c r="CI22" s="263">
        <v>17</v>
      </c>
      <c r="CJ22" s="241">
        <v>6</v>
      </c>
    </row>
    <row r="23" spans="1:88" ht="16.5" customHeight="1" x14ac:dyDescent="0.25">
      <c r="A23" s="239">
        <v>22</v>
      </c>
      <c r="B23" s="240" t="str">
        <f>IF(法术书!X24="","",法术书!X24)</f>
        <v/>
      </c>
      <c r="C23" s="240" t="str">
        <f>IFERROR(VLOOKUP(B23,法术大全!$A:$Y,5,FALSE),"")</f>
        <v/>
      </c>
      <c r="D23" s="241" t="str">
        <f>IFERROR(VLOOKUP(B23,法术大全!$A:$Y,4,FALSE),"")</f>
        <v/>
      </c>
      <c r="E23" s="239">
        <v>22</v>
      </c>
      <c r="F23" s="242" t="str">
        <f t="shared" si="0"/>
        <v/>
      </c>
      <c r="G23" s="243"/>
      <c r="H23" s="246" t="str">
        <f>IF(主要!Y59&lt;&gt;"",主要!Y59,"")</f>
        <v/>
      </c>
      <c r="I23" s="240">
        <f>IF(VLOOKUP(H23,法术大全!$A$3:$E$594,4,0)="√",1,0)</f>
        <v>0</v>
      </c>
      <c r="J23" s="240">
        <f>IF(VLOOKUP(H23,法术大全!$A$3:$E$594,5,0)="√",1,0)</f>
        <v>0</v>
      </c>
      <c r="O23" s="320">
        <v>4</v>
      </c>
      <c r="P23" s="320" t="s">
        <v>2334</v>
      </c>
      <c r="Q23" s="320" t="s">
        <v>2573</v>
      </c>
      <c r="R23" s="320" t="s">
        <v>2289</v>
      </c>
      <c r="S23" s="320" t="s">
        <v>2338</v>
      </c>
      <c r="BH23" s="251" t="s">
        <v>377</v>
      </c>
      <c r="BI23" s="219" t="s">
        <v>4302</v>
      </c>
      <c r="BJ23" s="251" t="s">
        <v>219</v>
      </c>
      <c r="BK23" s="251">
        <v>5</v>
      </c>
      <c r="BL23" s="251">
        <f>背包!AP14*IF(ISBLANK(背包!AS14),1,背包!AS14)</f>
        <v>0</v>
      </c>
      <c r="BM23" s="240">
        <f>背包!S38*IF(ISBLANK(背包!V38),1,背包!V38)</f>
        <v>0</v>
      </c>
      <c r="BN23" s="251">
        <f>背包!AP38*IF(ISBLANK(背包!AS38),1,背包!AS38)</f>
        <v>0</v>
      </c>
      <c r="BQ23" s="240" t="s">
        <v>378</v>
      </c>
      <c r="BR23" s="240" t="s">
        <v>82</v>
      </c>
      <c r="BS23" s="251" t="s">
        <v>379</v>
      </c>
      <c r="BT23" s="251" t="s">
        <v>363</v>
      </c>
      <c r="BU23" s="240" t="s">
        <v>240</v>
      </c>
      <c r="BV23" s="251">
        <v>0</v>
      </c>
      <c r="CF23" s="240" t="s">
        <v>380</v>
      </c>
      <c r="CI23" s="263">
        <v>18</v>
      </c>
      <c r="CJ23" s="241">
        <v>6</v>
      </c>
    </row>
    <row r="24" spans="1:88" ht="16.5" customHeight="1" x14ac:dyDescent="0.25">
      <c r="A24" s="239">
        <v>23</v>
      </c>
      <c r="B24" s="240" t="str">
        <f>IF(法术书!X25="","",法术书!X25)</f>
        <v/>
      </c>
      <c r="C24" s="240" t="str">
        <f>IFERROR(VLOOKUP(B24,法术大全!$A:$Y,5,FALSE),"")</f>
        <v/>
      </c>
      <c r="D24" s="241" t="str">
        <f>IFERROR(VLOOKUP(B24,法术大全!$A:$Y,4,FALSE),"")</f>
        <v/>
      </c>
      <c r="E24" s="239">
        <v>23</v>
      </c>
      <c r="F24" s="242" t="str">
        <f t="shared" si="0"/>
        <v/>
      </c>
      <c r="G24" s="243"/>
      <c r="H24" s="246" t="str">
        <f>IF(主要!Y60&lt;&gt;"",主要!Y60,"")</f>
        <v/>
      </c>
      <c r="I24" s="240">
        <f>IF(VLOOKUP(H24,法术大全!$A$3:$E$594,4,0)="√",1,0)</f>
        <v>0</v>
      </c>
      <c r="J24" s="240">
        <f>IF(VLOOKUP(H24,法术大全!$A$3:$E$594,5,0)="√",1,0)</f>
        <v>0</v>
      </c>
      <c r="O24" s="320">
        <v>5</v>
      </c>
      <c r="P24" s="320" t="s">
        <v>2342</v>
      </c>
      <c r="Q24" s="320" t="s">
        <v>2371</v>
      </c>
      <c r="R24" s="320" t="s">
        <v>2457</v>
      </c>
      <c r="S24" s="320" t="s">
        <v>2427</v>
      </c>
      <c r="BH24" s="256" t="s">
        <v>381</v>
      </c>
      <c r="BI24" s="256" t="s">
        <v>382</v>
      </c>
      <c r="BJ24" s="256" t="s">
        <v>325</v>
      </c>
      <c r="BK24" s="256">
        <v>2</v>
      </c>
      <c r="BL24" s="251"/>
      <c r="BN24" s="251"/>
      <c r="BQ24" s="240" t="s">
        <v>383</v>
      </c>
      <c r="BR24" s="240" t="s">
        <v>82</v>
      </c>
      <c r="BS24" s="251" t="s">
        <v>384</v>
      </c>
      <c r="BT24" s="251" t="s">
        <v>363</v>
      </c>
      <c r="BU24" s="240" t="s">
        <v>368</v>
      </c>
      <c r="BV24" s="251">
        <v>0</v>
      </c>
      <c r="CC24" s="270" t="s">
        <v>121</v>
      </c>
      <c r="CD24" s="271">
        <f>VLOOKUP(CC24,主要!C:J,7,FALSE)</f>
        <v>0</v>
      </c>
      <c r="CF24" s="240">
        <f>IF(主要!O31="O",1,0)</f>
        <v>0</v>
      </c>
      <c r="CI24" s="263">
        <v>19</v>
      </c>
      <c r="CJ24" s="241">
        <v>6</v>
      </c>
    </row>
    <row r="25" spans="1:88" ht="16.5" customHeight="1" x14ac:dyDescent="0.25">
      <c r="A25" s="239">
        <v>24</v>
      </c>
      <c r="B25" s="240" t="str">
        <f>IF(法术书!X26="","",法术书!X26)</f>
        <v/>
      </c>
      <c r="C25" s="240" t="str">
        <f>IFERROR(VLOOKUP(B25,法术大全!$A:$Y,5,FALSE),"")</f>
        <v/>
      </c>
      <c r="D25" s="241" t="str">
        <f>IFERROR(VLOOKUP(B25,法术大全!$A:$Y,4,FALSE),"")</f>
        <v/>
      </c>
      <c r="E25" s="239">
        <v>24</v>
      </c>
      <c r="F25" s="242" t="str">
        <f t="shared" si="0"/>
        <v/>
      </c>
      <c r="G25" s="243"/>
      <c r="H25" s="246" t="str">
        <f>IF(主要!Y61&lt;&gt;"",主要!Y61,"")</f>
        <v/>
      </c>
      <c r="I25" s="240">
        <f>IF(VLOOKUP(H25,法术大全!$A$3:$E$594,4,0)="√",1,0)</f>
        <v>0</v>
      </c>
      <c r="J25" s="240">
        <f>IF(VLOOKUP(H25,法术大全!$A$3:$E$594,5,0)="√",1,0)</f>
        <v>0</v>
      </c>
      <c r="O25" s="320">
        <v>6</v>
      </c>
      <c r="P25" s="320" t="s">
        <v>4722</v>
      </c>
      <c r="Q25" s="320" t="s">
        <v>2338</v>
      </c>
      <c r="R25" s="320" t="s">
        <v>2309</v>
      </c>
      <c r="S25" s="320" t="s">
        <v>2432</v>
      </c>
      <c r="BH25" s="251" t="s">
        <v>385</v>
      </c>
      <c r="BI25" s="251" t="s">
        <v>386</v>
      </c>
      <c r="BJ25" s="251" t="s">
        <v>387</v>
      </c>
      <c r="BK25" s="251">
        <v>2</v>
      </c>
      <c r="BL25" s="251">
        <f>背包!AP16*IF(ISBLANK(背包!AS16),1,背包!AS16)</f>
        <v>0</v>
      </c>
      <c r="BM25" s="240">
        <f>背包!S40*IF(ISBLANK(背包!V40),1,背包!V40)</f>
        <v>0</v>
      </c>
      <c r="BN25" s="251">
        <f>背包!AP40*IF(ISBLANK(背包!AS40),1,背包!AS40)</f>
        <v>0</v>
      </c>
      <c r="BQ25" s="240" t="s">
        <v>388</v>
      </c>
      <c r="BR25" s="240" t="s">
        <v>82</v>
      </c>
      <c r="BS25" s="251" t="s">
        <v>389</v>
      </c>
      <c r="BT25" s="251" t="s">
        <v>363</v>
      </c>
      <c r="BU25" s="240" t="s">
        <v>240</v>
      </c>
      <c r="BV25" s="251">
        <v>0</v>
      </c>
      <c r="CC25" s="263" t="s">
        <v>130</v>
      </c>
      <c r="CD25" s="241">
        <f>VLOOKUP(CC25,主要!C:J,7,FALSE)</f>
        <v>0</v>
      </c>
      <c r="CF25" s="240">
        <f>IF(主要!O33="O",1,0)</f>
        <v>0</v>
      </c>
      <c r="CI25" s="263">
        <v>20</v>
      </c>
      <c r="CJ25" s="241">
        <v>6</v>
      </c>
    </row>
    <row r="26" spans="1:88" ht="16.5" customHeight="1" x14ac:dyDescent="0.25">
      <c r="A26" s="239">
        <v>25</v>
      </c>
      <c r="B26" s="240" t="str">
        <f>IF(法术书!X27="","",法术书!X27)</f>
        <v/>
      </c>
      <c r="C26" s="240" t="str">
        <f>IFERROR(VLOOKUP(B26,法术大全!$A:$Y,5,FALSE),"")</f>
        <v/>
      </c>
      <c r="D26" s="241" t="str">
        <f>IFERROR(VLOOKUP(B26,法术大全!$A:$Y,4,FALSE),"")</f>
        <v/>
      </c>
      <c r="E26" s="239">
        <v>25</v>
      </c>
      <c r="F26" s="242" t="str">
        <f t="shared" si="0"/>
        <v/>
      </c>
      <c r="G26" s="243"/>
      <c r="H26" s="246" t="str">
        <f>IF(主要!Y62&lt;&gt;"",主要!Y62,"")</f>
        <v/>
      </c>
      <c r="I26" s="240">
        <f>IF(VLOOKUP(H26,法术大全!$A$3:$E$594,4,0)="√",1,0)</f>
        <v>0</v>
      </c>
      <c r="J26" s="240">
        <f>IF(VLOOKUP(H26,法术大全!$A$3:$E$594,5,0)="√",1,0)</f>
        <v>0</v>
      </c>
      <c r="O26" s="320">
        <v>7</v>
      </c>
      <c r="P26" s="320" t="s">
        <v>2308</v>
      </c>
      <c r="Q26" s="320" t="s">
        <v>2427</v>
      </c>
      <c r="R26" s="320" t="s">
        <v>2865</v>
      </c>
      <c r="S26" s="320" t="s">
        <v>4203</v>
      </c>
      <c r="BH26" s="256" t="s">
        <v>390</v>
      </c>
      <c r="BI26" s="256" t="s">
        <v>391</v>
      </c>
      <c r="BJ26" s="256" t="s">
        <v>392</v>
      </c>
      <c r="BK26" s="256">
        <v>42</v>
      </c>
      <c r="BL26" s="251">
        <f>背包!AP17*IF(ISBLANK(背包!AS17),1,背包!AS17)</f>
        <v>0</v>
      </c>
      <c r="BM26" s="240">
        <f>背包!S41*IF(ISBLANK(背包!V41),1,背包!V41)</f>
        <v>0</v>
      </c>
      <c r="BN26" s="251">
        <f>背包!AP41*IF(ISBLANK(背包!AS41),1,背包!AS41)</f>
        <v>0</v>
      </c>
      <c r="BO26" s="251"/>
      <c r="BQ26" s="251" t="s">
        <v>393</v>
      </c>
      <c r="BR26" s="240" t="s">
        <v>81</v>
      </c>
      <c r="BS26" s="251" t="s">
        <v>394</v>
      </c>
      <c r="BT26" s="251" t="s">
        <v>395</v>
      </c>
      <c r="BU26" s="240" t="s">
        <v>274</v>
      </c>
      <c r="BV26" s="251">
        <v>3</v>
      </c>
      <c r="CC26" s="263" t="s">
        <v>133</v>
      </c>
      <c r="CD26" s="241">
        <f>VLOOKUP(CC26,主要!C:J,7,FALSE)</f>
        <v>0</v>
      </c>
      <c r="CF26" s="240">
        <f>IF(主要!O34="O",1,0)</f>
        <v>0</v>
      </c>
      <c r="CI26" s="263">
        <v>21</v>
      </c>
      <c r="CJ26" s="241">
        <v>7</v>
      </c>
    </row>
    <row r="27" spans="1:88" ht="16.5" customHeight="1" x14ac:dyDescent="0.25">
      <c r="A27" s="239">
        <v>26</v>
      </c>
      <c r="B27" s="240" t="str">
        <f>IF(法术书!X28="","",法术书!X28)</f>
        <v/>
      </c>
      <c r="C27" s="240" t="str">
        <f>IFERROR(VLOOKUP(B27,法术大全!$A:$Y,5,FALSE),"")</f>
        <v/>
      </c>
      <c r="D27" s="241" t="str">
        <f>IFERROR(VLOOKUP(B27,法术大全!$A:$Y,4,FALSE),"")</f>
        <v/>
      </c>
      <c r="E27" s="239">
        <v>26</v>
      </c>
      <c r="F27" s="242" t="str">
        <f t="shared" si="0"/>
        <v/>
      </c>
      <c r="G27" s="243"/>
      <c r="H27" s="246" t="str">
        <f>IF(主要!Y63&lt;&gt;"",主要!Y63,"")</f>
        <v/>
      </c>
      <c r="I27" s="240">
        <f>IF(VLOOKUP(H27,法术大全!$A$3:$E$594,4,0)="√",1,0)</f>
        <v>0</v>
      </c>
      <c r="J27" s="240">
        <f>IF(VLOOKUP(H27,法术大全!$A$3:$E$594,5,0)="√",1,0)</f>
        <v>0</v>
      </c>
      <c r="O27" s="320">
        <v>8</v>
      </c>
      <c r="P27" s="320"/>
      <c r="Q27" s="320"/>
      <c r="R27" s="320" t="s">
        <v>3118</v>
      </c>
      <c r="S27" s="320" t="s">
        <v>2299</v>
      </c>
      <c r="BH27" s="251" t="s">
        <v>396</v>
      </c>
      <c r="BI27" s="251" t="s">
        <v>397</v>
      </c>
      <c r="BJ27" s="251" t="s">
        <v>240</v>
      </c>
      <c r="BK27" s="251">
        <v>2</v>
      </c>
      <c r="BL27" s="251">
        <f>背包!AP18*IF(ISBLANK(背包!AS18),1,背包!AS18)</f>
        <v>0</v>
      </c>
      <c r="BM27" s="240">
        <f>背包!S42*IF(ISBLANK(背包!V42),1,背包!V42)</f>
        <v>0</v>
      </c>
      <c r="BN27" s="251">
        <f>背包!AP42*IF(ISBLANK(背包!AS42),1,背包!AS42)</f>
        <v>0</v>
      </c>
      <c r="BO27" s="251"/>
      <c r="BQ27" s="251" t="s">
        <v>398</v>
      </c>
      <c r="BR27" s="240" t="s">
        <v>83</v>
      </c>
      <c r="BS27" s="251" t="s">
        <v>399</v>
      </c>
      <c r="BT27" s="251" t="s">
        <v>363</v>
      </c>
      <c r="BU27" s="240" t="s">
        <v>363</v>
      </c>
      <c r="BV27" s="251">
        <v>0</v>
      </c>
      <c r="CC27" s="263" t="s">
        <v>135</v>
      </c>
      <c r="CD27" s="241">
        <f>VLOOKUP(CC27,主要!C:J,7,FALSE)</f>
        <v>0</v>
      </c>
      <c r="CF27" s="240">
        <f>IF(主要!O35="O",1,0)</f>
        <v>0</v>
      </c>
      <c r="CI27" s="263">
        <v>22</v>
      </c>
      <c r="CJ27" s="241">
        <v>7</v>
      </c>
    </row>
    <row r="28" spans="1:88" ht="16.5" customHeight="1" x14ac:dyDescent="0.25">
      <c r="A28" s="239">
        <v>27</v>
      </c>
      <c r="B28" s="240" t="str">
        <f>IF(法术书!X29="","",法术书!X29)</f>
        <v/>
      </c>
      <c r="C28" s="240" t="str">
        <f>IFERROR(VLOOKUP(B28,法术大全!$A:$Y,5,FALSE),"")</f>
        <v/>
      </c>
      <c r="D28" s="241" t="str">
        <f>IFERROR(VLOOKUP(B28,法术大全!$A:$Y,4,FALSE),"")</f>
        <v/>
      </c>
      <c r="E28" s="239">
        <v>27</v>
      </c>
      <c r="F28" s="242" t="str">
        <f t="shared" si="0"/>
        <v/>
      </c>
      <c r="G28" s="243" t="s">
        <v>400</v>
      </c>
      <c r="H28" s="247" t="str">
        <f>IF(主要!AG56&lt;&gt;"",主要!AG56,"")</f>
        <v/>
      </c>
      <c r="I28" s="240">
        <f>IF(VLOOKUP(H28,法术大全!$A$3:$E$594,4,0)="√",1,0)</f>
        <v>0</v>
      </c>
      <c r="J28" s="240">
        <f>IF(VLOOKUP(H28,法术大全!$A$3:$E$594,5,0)="√",1,0)</f>
        <v>0</v>
      </c>
      <c r="O28" s="320">
        <v>9</v>
      </c>
      <c r="P28" s="320"/>
      <c r="Q28" s="320"/>
      <c r="R28" s="320" t="s">
        <v>3772</v>
      </c>
      <c r="S28" s="320" t="s">
        <v>2484</v>
      </c>
      <c r="BH28" s="256" t="s">
        <v>401</v>
      </c>
      <c r="BI28" s="256" t="s">
        <v>402</v>
      </c>
      <c r="BJ28" s="256" t="s">
        <v>403</v>
      </c>
      <c r="BK28" s="256">
        <v>0</v>
      </c>
      <c r="BL28" s="251">
        <f>背包!AP19*IF(ISBLANK(背包!AS19),1,背包!AS19)</f>
        <v>0</v>
      </c>
      <c r="BM28" s="240">
        <f>背包!S43*IF(ISBLANK(背包!V43),1,背包!V43)</f>
        <v>0</v>
      </c>
      <c r="BN28" s="251">
        <f>背包!AP43*IF(ISBLANK(背包!AS43),1,背包!AS43)</f>
        <v>0</v>
      </c>
      <c r="BO28" s="251"/>
      <c r="BQ28" s="240" t="s">
        <v>404</v>
      </c>
      <c r="BR28" s="240" t="s">
        <v>83</v>
      </c>
      <c r="BS28" s="251" t="s">
        <v>405</v>
      </c>
      <c r="BT28" s="251" t="s">
        <v>363</v>
      </c>
      <c r="BU28" s="251" t="s">
        <v>290</v>
      </c>
      <c r="BV28" s="240">
        <v>6</v>
      </c>
      <c r="CC28" s="263" t="s">
        <v>139</v>
      </c>
      <c r="CD28" s="241">
        <f>VLOOKUP(CC28,主要!C:J,7,FALSE)</f>
        <v>0</v>
      </c>
      <c r="CF28" s="240">
        <f>IF(主要!O36="O",1,0)</f>
        <v>0</v>
      </c>
      <c r="CI28" s="263">
        <v>23</v>
      </c>
      <c r="CJ28" s="241">
        <v>7</v>
      </c>
    </row>
    <row r="29" spans="1:88" ht="16.5" customHeight="1" x14ac:dyDescent="0.25">
      <c r="A29" s="239">
        <v>28</v>
      </c>
      <c r="B29" s="240" t="str">
        <f>IF(法术书!X30="","",法术书!X30)</f>
        <v/>
      </c>
      <c r="C29" s="240" t="str">
        <f>IFERROR(VLOOKUP(B29,法术大全!$A:$Y,5,FALSE),"")</f>
        <v/>
      </c>
      <c r="D29" s="241" t="str">
        <f>IFERROR(VLOOKUP(B29,法术大全!$A:$Y,4,FALSE),"")</f>
        <v/>
      </c>
      <c r="E29" s="239">
        <v>28</v>
      </c>
      <c r="F29" s="242" t="str">
        <f t="shared" si="0"/>
        <v/>
      </c>
      <c r="G29" s="243"/>
      <c r="H29" s="247" t="str">
        <f>IF(主要!AG57&lt;&gt;"",主要!AG57,"")</f>
        <v/>
      </c>
      <c r="I29" s="240">
        <f>IF(VLOOKUP(H29,法术大全!$A$3:$E$594,4,0)="√",1,0)</f>
        <v>0</v>
      </c>
      <c r="J29" s="240">
        <f>IF(VLOOKUP(H29,法术大全!$A$3:$E$594,5,0)="√",1,0)</f>
        <v>0</v>
      </c>
      <c r="O29" s="320"/>
      <c r="P29" s="320"/>
      <c r="Q29" s="320"/>
      <c r="R29" s="320" t="s">
        <v>4204</v>
      </c>
      <c r="S29" s="320" t="s">
        <v>2534</v>
      </c>
      <c r="BH29" s="251" t="s">
        <v>406</v>
      </c>
      <c r="BI29" s="251" t="s">
        <v>407</v>
      </c>
      <c r="BJ29" s="251" t="s">
        <v>240</v>
      </c>
      <c r="BK29" s="251">
        <v>1</v>
      </c>
      <c r="BL29" s="251">
        <f>背包!AP20*IF(ISBLANK(背包!AS20),1,背包!AS20)</f>
        <v>0</v>
      </c>
      <c r="BM29" s="240">
        <f>背包!S44*IF(ISBLANK(背包!V44),1,背包!V44)</f>
        <v>0</v>
      </c>
      <c r="BN29" s="251">
        <f>背包!AP44*IF(ISBLANK(背包!AS44),1,背包!AS44)</f>
        <v>0</v>
      </c>
      <c r="BO29" s="251"/>
      <c r="BQ29" s="240" t="s">
        <v>408</v>
      </c>
      <c r="BR29" s="240" t="s">
        <v>83</v>
      </c>
      <c r="BS29" s="251" t="s">
        <v>409</v>
      </c>
      <c r="BT29" s="251" t="s">
        <v>363</v>
      </c>
      <c r="BU29" s="251" t="s">
        <v>410</v>
      </c>
      <c r="BV29" s="240">
        <v>3</v>
      </c>
      <c r="CC29" s="263" t="s">
        <v>141</v>
      </c>
      <c r="CD29" s="241">
        <f>VLOOKUP(CC29,主要!C:J,7,FALSE)</f>
        <v>0</v>
      </c>
      <c r="CF29" s="240">
        <f>IF(主要!O37="O",1,0)</f>
        <v>0</v>
      </c>
      <c r="CI29" s="263">
        <v>24</v>
      </c>
      <c r="CJ29" s="241">
        <v>7</v>
      </c>
    </row>
    <row r="30" spans="1:88" ht="16.5" customHeight="1" x14ac:dyDescent="0.25">
      <c r="A30" s="239">
        <v>29</v>
      </c>
      <c r="B30" s="240" t="str">
        <f>IF(法术书!X31="","",法术书!X31)</f>
        <v/>
      </c>
      <c r="C30" s="240" t="str">
        <f>IFERROR(VLOOKUP(B30,法术大全!$A:$Y,5,FALSE),"")</f>
        <v/>
      </c>
      <c r="D30" s="241" t="str">
        <f>IFERROR(VLOOKUP(B30,法术大全!$A:$Y,4,FALSE),"")</f>
        <v/>
      </c>
      <c r="E30" s="239">
        <v>29</v>
      </c>
      <c r="F30" s="242" t="str">
        <f t="shared" si="0"/>
        <v/>
      </c>
      <c r="G30" s="243"/>
      <c r="H30" s="247" t="str">
        <f>IF(主要!AG58&lt;&gt;"",主要!AG58,"")</f>
        <v/>
      </c>
      <c r="I30" s="240">
        <f>IF(VLOOKUP(H30,法术大全!$A$3:$E$594,4,0)="√",1,0)</f>
        <v>0</v>
      </c>
      <c r="J30" s="240">
        <f>IF(VLOOKUP(H30,法术大全!$A$3:$E$594,5,0)="√",1,0)</f>
        <v>0</v>
      </c>
      <c r="O30" s="320"/>
      <c r="P30" s="320"/>
      <c r="Q30" s="320"/>
      <c r="R30" s="320" t="s">
        <v>4205</v>
      </c>
      <c r="S30" s="320" t="s">
        <v>2579</v>
      </c>
      <c r="BH30" s="256" t="s">
        <v>411</v>
      </c>
      <c r="BI30" s="256" t="s">
        <v>412</v>
      </c>
      <c r="BJ30" s="256" t="s">
        <v>240</v>
      </c>
      <c r="BK30" s="256">
        <v>1</v>
      </c>
      <c r="BL30" s="251">
        <f>背包!AP21*IF(ISBLANK(背包!AS21),1,背包!AS21)</f>
        <v>0</v>
      </c>
      <c r="BM30" s="240">
        <f>背包!S45*IF(ISBLANK(背包!V45),1,背包!V45)</f>
        <v>0</v>
      </c>
      <c r="BN30" s="251">
        <f>背包!AP45*IF(ISBLANK(背包!AS45),1,背包!AS45)</f>
        <v>0</v>
      </c>
      <c r="BO30" s="251"/>
      <c r="BQ30" s="240" t="s">
        <v>413</v>
      </c>
      <c r="BR30" s="240" t="s">
        <v>83</v>
      </c>
      <c r="BS30" s="251" t="s">
        <v>414</v>
      </c>
      <c r="BT30" s="251" t="s">
        <v>363</v>
      </c>
      <c r="BU30" s="240" t="s">
        <v>219</v>
      </c>
      <c r="BV30" s="240">
        <v>10</v>
      </c>
      <c r="CC30" s="263" t="s">
        <v>143</v>
      </c>
      <c r="CD30" s="241">
        <f>VLOOKUP(CC30,主要!C:J,7,FALSE)</f>
        <v>0</v>
      </c>
      <c r="CF30" s="240">
        <f>IF(主要!O39="O",1,0)</f>
        <v>0</v>
      </c>
      <c r="CI30" s="263">
        <v>25</v>
      </c>
      <c r="CJ30" s="241">
        <v>8</v>
      </c>
    </row>
    <row r="31" spans="1:88" ht="16.5" customHeight="1" x14ac:dyDescent="0.25">
      <c r="A31" s="239">
        <v>30</v>
      </c>
      <c r="B31" s="240" t="str">
        <f>IF(法术书!X32="","",法术书!X32)</f>
        <v/>
      </c>
      <c r="C31" s="240" t="str">
        <f>IFERROR(VLOOKUP(B31,法术大全!$A:$Y,5,FALSE),"")</f>
        <v/>
      </c>
      <c r="D31" s="241" t="str">
        <f>IFERROR(VLOOKUP(B31,法术大全!$A:$Y,4,FALSE),"")</f>
        <v/>
      </c>
      <c r="E31" s="239">
        <v>30</v>
      </c>
      <c r="F31" s="242" t="str">
        <f t="shared" si="0"/>
        <v/>
      </c>
      <c r="G31" s="243"/>
      <c r="H31" s="247" t="str">
        <f>IF(主要!AG59&lt;&gt;"",主要!AG59,"")</f>
        <v/>
      </c>
      <c r="I31" s="240">
        <f>IF(VLOOKUP(H31,法术大全!$A$3:$E$594,4,0)="√",1,0)</f>
        <v>0</v>
      </c>
      <c r="J31" s="240">
        <f>IF(VLOOKUP(H31,法术大全!$A$3:$E$594,5,0)="√",1,0)</f>
        <v>0</v>
      </c>
      <c r="O31" s="320"/>
      <c r="P31" s="320"/>
      <c r="Q31" s="320"/>
      <c r="R31" s="320" t="s">
        <v>4111</v>
      </c>
      <c r="S31" s="320" t="s">
        <v>3276</v>
      </c>
      <c r="BH31" s="251" t="s">
        <v>415</v>
      </c>
      <c r="BI31" s="251" t="s">
        <v>416</v>
      </c>
      <c r="BJ31" s="251" t="s">
        <v>274</v>
      </c>
      <c r="BK31" s="251">
        <v>10</v>
      </c>
      <c r="BL31" s="251">
        <f>背包!AP22*IF(ISBLANK(背包!AS22),1,背包!AS22)</f>
        <v>0</v>
      </c>
      <c r="BM31" s="240">
        <f>背包!S46*IF(ISBLANK(背包!V46),1,背包!V46)</f>
        <v>0</v>
      </c>
      <c r="BN31" s="251">
        <f>背包!AP46*IF(ISBLANK(背包!AS46),1,背包!AS46)</f>
        <v>0</v>
      </c>
      <c r="BO31" s="251"/>
      <c r="BQ31" s="240" t="s">
        <v>417</v>
      </c>
      <c r="BR31" s="240" t="s">
        <v>83</v>
      </c>
      <c r="BS31" s="251" t="s">
        <v>418</v>
      </c>
      <c r="BT31" s="251" t="s">
        <v>363</v>
      </c>
      <c r="BU31" s="240" t="s">
        <v>325</v>
      </c>
      <c r="BV31" s="240">
        <v>1</v>
      </c>
      <c r="CC31" s="263" t="s">
        <v>144</v>
      </c>
      <c r="CD31" s="241">
        <f>VLOOKUP(CC31,主要!C:J,7,FALSE)</f>
        <v>0</v>
      </c>
      <c r="CF31" s="240">
        <f>IF(主要!O40="O",1,0)</f>
        <v>0</v>
      </c>
      <c r="CI31" s="263">
        <v>26</v>
      </c>
      <c r="CJ31" s="241">
        <v>8</v>
      </c>
    </row>
    <row r="32" spans="1:88" ht="16.5" customHeight="1" x14ac:dyDescent="0.25">
      <c r="A32" s="239">
        <v>31</v>
      </c>
      <c r="B32" s="240" t="str">
        <f>IF(法术书!X33="","",法术书!X33)</f>
        <v/>
      </c>
      <c r="C32" s="240" t="str">
        <f>IFERROR(VLOOKUP(B32,法术大全!$A:$Y,5,FALSE),"")</f>
        <v/>
      </c>
      <c r="D32" s="241" t="str">
        <f>IFERROR(VLOOKUP(B32,法术大全!$A:$Y,4,FALSE),"")</f>
        <v/>
      </c>
      <c r="E32" s="239">
        <v>31</v>
      </c>
      <c r="F32" s="242" t="str">
        <f t="shared" si="0"/>
        <v/>
      </c>
      <c r="G32" s="243"/>
      <c r="H32" s="247" t="str">
        <f>IF(主要!AG60&lt;&gt;"",主要!AG60,"")</f>
        <v/>
      </c>
      <c r="I32" s="240">
        <f>IF(VLOOKUP(H32,法术大全!$A$3:$E$594,4,0)="√",1,0)</f>
        <v>0</v>
      </c>
      <c r="J32" s="240">
        <f>IF(VLOOKUP(H32,法术大全!$A$3:$E$594,5,0)="√",1,0)</f>
        <v>0</v>
      </c>
      <c r="O32" s="320"/>
      <c r="P32" s="320"/>
      <c r="Q32" s="320"/>
      <c r="R32" s="320" t="s">
        <v>3738</v>
      </c>
      <c r="S32" s="320" t="s">
        <v>3303</v>
      </c>
      <c r="BH32" s="256" t="s">
        <v>419</v>
      </c>
      <c r="BI32" s="256" t="s">
        <v>420</v>
      </c>
      <c r="BJ32" s="256" t="s">
        <v>274</v>
      </c>
      <c r="BK32" s="256">
        <v>25</v>
      </c>
      <c r="BL32" s="251">
        <f>背包!AP23*IF(ISBLANK(背包!AS23),1,背包!AS23)</f>
        <v>0</v>
      </c>
      <c r="BM32" s="240">
        <f>背包!S47*IF(ISBLANK(背包!V47),1,背包!V47)</f>
        <v>0</v>
      </c>
      <c r="BN32" s="251">
        <f>背包!AP47*IF(ISBLANK(背包!AS47),1,背包!AS47)</f>
        <v>0</v>
      </c>
      <c r="BO32" s="251"/>
      <c r="BQ32" s="240" t="s">
        <v>421</v>
      </c>
      <c r="BR32" s="240" t="s">
        <v>83</v>
      </c>
      <c r="BS32" s="251" t="s">
        <v>422</v>
      </c>
      <c r="BT32" s="251" t="s">
        <v>363</v>
      </c>
      <c r="BU32" s="240" t="s">
        <v>260</v>
      </c>
      <c r="BV32" s="240">
        <v>2</v>
      </c>
      <c r="CC32" s="263" t="s">
        <v>145</v>
      </c>
      <c r="CD32" s="241">
        <f>VLOOKUP(CC32,主要!C:J,7,FALSE)</f>
        <v>0</v>
      </c>
      <c r="CF32" s="240">
        <f>IF(主要!O41="O",1,0)</f>
        <v>0</v>
      </c>
      <c r="CI32" s="263">
        <v>27</v>
      </c>
      <c r="CJ32" s="241">
        <v>8</v>
      </c>
    </row>
    <row r="33" spans="1:88" ht="16.5" customHeight="1" x14ac:dyDescent="0.25">
      <c r="A33" s="239">
        <v>32</v>
      </c>
      <c r="B33" s="240" t="str">
        <f>IF(法术书!X34="","",法术书!X34)</f>
        <v/>
      </c>
      <c r="C33" s="240" t="str">
        <f>IFERROR(VLOOKUP(B33,法术大全!$A:$Y,5,FALSE),"")</f>
        <v/>
      </c>
      <c r="D33" s="241" t="str">
        <f>IFERROR(VLOOKUP(B33,法术大全!$A:$Y,4,FALSE),"")</f>
        <v/>
      </c>
      <c r="E33" s="239">
        <v>32</v>
      </c>
      <c r="F33" s="242" t="str">
        <f t="shared" si="0"/>
        <v/>
      </c>
      <c r="G33" s="243"/>
      <c r="H33" s="247" t="str">
        <f>IF(主要!AG61&lt;&gt;"",主要!AG61,"")</f>
        <v/>
      </c>
      <c r="I33" s="240">
        <f>IF(VLOOKUP(H33,法术大全!$A$3:$E$594,4,0)="√",1,0)</f>
        <v>0</v>
      </c>
      <c r="J33" s="240">
        <f>IF(VLOOKUP(H33,法术大全!$A$3:$E$594,5,0)="√",1,0)</f>
        <v>0</v>
      </c>
      <c r="O33" s="320"/>
      <c r="P33" s="320"/>
      <c r="Q33" s="320"/>
      <c r="R33" s="320" t="s">
        <v>2915</v>
      </c>
      <c r="S33" s="320" t="s">
        <v>3281</v>
      </c>
      <c r="BH33" s="251" t="s">
        <v>273</v>
      </c>
      <c r="BI33" s="251" t="s">
        <v>423</v>
      </c>
      <c r="BJ33" s="251" t="s">
        <v>219</v>
      </c>
      <c r="BK33" s="251">
        <v>12</v>
      </c>
      <c r="BL33" s="251">
        <f>背包!AP24*IF(ISBLANK(背包!AS24),1,背包!AS24)</f>
        <v>0</v>
      </c>
      <c r="BM33" s="240">
        <f>背包!S48*IF(ISBLANK(背包!V48),1,背包!V48)</f>
        <v>0</v>
      </c>
      <c r="BN33" s="251">
        <f>背包!AP48*IF(ISBLANK(背包!AS48),1,背包!AS48)</f>
        <v>0</v>
      </c>
      <c r="BO33" s="251"/>
      <c r="BQ33" s="240" t="s">
        <v>424</v>
      </c>
      <c r="BR33" s="240" t="s">
        <v>83</v>
      </c>
      <c r="BS33" s="251" t="s">
        <v>425</v>
      </c>
      <c r="BT33" s="251" t="s">
        <v>363</v>
      </c>
      <c r="BU33" s="240" t="s">
        <v>426</v>
      </c>
      <c r="BV33" s="240">
        <v>2</v>
      </c>
      <c r="CC33" s="263" t="s">
        <v>147</v>
      </c>
      <c r="CD33" s="241">
        <f>VLOOKUP(CC33,主要!C:J,7,FALSE)</f>
        <v>0</v>
      </c>
      <c r="CF33" s="240">
        <f>IF(主要!O42="O",1,0)</f>
        <v>0</v>
      </c>
      <c r="CI33" s="263">
        <v>28</v>
      </c>
      <c r="CJ33" s="241">
        <v>8</v>
      </c>
    </row>
    <row r="34" spans="1:88" ht="16.5" customHeight="1" x14ac:dyDescent="0.25">
      <c r="A34" s="239">
        <v>33</v>
      </c>
      <c r="B34" s="240" t="str">
        <f>IF(法术书!X35="","",法术书!X35)</f>
        <v/>
      </c>
      <c r="C34" s="240" t="str">
        <f>IFERROR(VLOOKUP(B34,法术大全!$A:$Y,5,FALSE),"")</f>
        <v/>
      </c>
      <c r="D34" s="241" t="str">
        <f>IFERROR(VLOOKUP(B34,法术大全!$A:$Y,4,FALSE),"")</f>
        <v/>
      </c>
      <c r="E34" s="239">
        <v>33</v>
      </c>
      <c r="F34" s="242" t="str">
        <f t="shared" si="0"/>
        <v/>
      </c>
      <c r="G34" s="243"/>
      <c r="H34" s="247" t="str">
        <f>IF(主要!AG62&lt;&gt;"",主要!AG62,"")</f>
        <v/>
      </c>
      <c r="I34" s="240">
        <f>IF(VLOOKUP(H34,法术大全!$A$3:$E$594,4,0)="√",1,0)</f>
        <v>0</v>
      </c>
      <c r="J34" s="240">
        <f>IF(VLOOKUP(H34,法术大全!$A$3:$E$594,5,0)="√",1,0)</f>
        <v>0</v>
      </c>
      <c r="O34" s="320"/>
      <c r="P34" s="320"/>
      <c r="Q34" s="320"/>
      <c r="R34" s="320" t="s">
        <v>3875</v>
      </c>
      <c r="S34" s="320" t="s">
        <v>2673</v>
      </c>
      <c r="BH34" s="256" t="s">
        <v>427</v>
      </c>
      <c r="BI34" s="256" t="s">
        <v>428</v>
      </c>
      <c r="BJ34" s="256" t="s">
        <v>264</v>
      </c>
      <c r="BK34" s="256">
        <v>6</v>
      </c>
      <c r="BL34" s="251">
        <f>背包!AP25*IF(ISBLANK(背包!AS25),1,背包!AS25)</f>
        <v>0</v>
      </c>
      <c r="BM34" s="240">
        <f>背包!S49*IF(ISBLANK(背包!V49),1,背包!V49)</f>
        <v>0</v>
      </c>
      <c r="BN34" s="251">
        <f>背包!AP49*IF(ISBLANK(背包!AS49),1,背包!AS49)</f>
        <v>0</v>
      </c>
      <c r="BO34" s="251"/>
      <c r="BQ34" s="251" t="s">
        <v>429</v>
      </c>
      <c r="BR34" s="240" t="s">
        <v>83</v>
      </c>
      <c r="BS34" s="251" t="s">
        <v>430</v>
      </c>
      <c r="BT34" s="251" t="s">
        <v>363</v>
      </c>
      <c r="BU34" s="240" t="s">
        <v>290</v>
      </c>
      <c r="BV34" s="240">
        <v>2</v>
      </c>
      <c r="CC34" s="263" t="s">
        <v>148</v>
      </c>
      <c r="CD34" s="241">
        <f>VLOOKUP(CC34,主要!C:J,7,FALSE)</f>
        <v>0</v>
      </c>
      <c r="CF34" s="240">
        <f>IF(主要!O43="O",1,0)</f>
        <v>0</v>
      </c>
      <c r="CI34" s="263">
        <v>29</v>
      </c>
      <c r="CJ34" s="241">
        <v>9</v>
      </c>
    </row>
    <row r="35" spans="1:88" ht="16.5" customHeight="1" x14ac:dyDescent="0.25">
      <c r="A35" s="239">
        <v>34</v>
      </c>
      <c r="B35" s="240" t="str">
        <f>IF(法术书!X36="","",法术书!X36)</f>
        <v/>
      </c>
      <c r="C35" s="240" t="str">
        <f>IFERROR(VLOOKUP(B35,法术大全!$A:$Y,5,FALSE),"")</f>
        <v/>
      </c>
      <c r="D35" s="241" t="str">
        <f>IFERROR(VLOOKUP(B35,法术大全!$A:$Y,4,FALSE),"")</f>
        <v/>
      </c>
      <c r="E35" s="239">
        <v>34</v>
      </c>
      <c r="F35" s="242" t="str">
        <f t="shared" si="0"/>
        <v/>
      </c>
      <c r="G35" s="243"/>
      <c r="H35" s="247" t="str">
        <f>IF(主要!AG63&lt;&gt;"",主要!AG63,"")</f>
        <v/>
      </c>
      <c r="I35" s="240">
        <f>IF(VLOOKUP(H35,法术大全!$A$3:$E$594,4,0)="√",1,0)</f>
        <v>0</v>
      </c>
      <c r="J35" s="240">
        <f>IF(VLOOKUP(H35,法术大全!$A$3:$E$594,5,0)="√",1,0)</f>
        <v>0</v>
      </c>
      <c r="O35" s="320"/>
      <c r="P35" s="320"/>
      <c r="Q35" s="320"/>
      <c r="R35" s="320" t="s">
        <v>3281</v>
      </c>
      <c r="S35" s="320" t="s">
        <v>4206</v>
      </c>
      <c r="BH35" s="251" t="s">
        <v>431</v>
      </c>
      <c r="BI35" s="251" t="s">
        <v>432</v>
      </c>
      <c r="BJ35" s="251" t="s">
        <v>325</v>
      </c>
      <c r="BK35" s="251">
        <v>4</v>
      </c>
      <c r="BL35" s="251"/>
      <c r="BM35" s="251"/>
      <c r="BN35" s="251"/>
      <c r="BO35" s="251"/>
      <c r="BQ35" s="251" t="s">
        <v>433</v>
      </c>
      <c r="BR35" s="240" t="s">
        <v>83</v>
      </c>
      <c r="BS35" s="251" t="s">
        <v>434</v>
      </c>
      <c r="BT35" s="251" t="s">
        <v>363</v>
      </c>
      <c r="BU35" s="240" t="s">
        <v>435</v>
      </c>
      <c r="BV35" s="240">
        <v>2</v>
      </c>
      <c r="CC35" s="263" t="s">
        <v>149</v>
      </c>
      <c r="CD35" s="241" t="e">
        <f>VLOOKUP(CC35,主要!C:J,7,FALSE)</f>
        <v>#N/A</v>
      </c>
      <c r="CF35" s="240">
        <f>IF(主要!O44="O",1,0)</f>
        <v>0</v>
      </c>
      <c r="CI35" s="269">
        <v>30</v>
      </c>
      <c r="CJ35" s="249">
        <v>9</v>
      </c>
    </row>
    <row r="36" spans="1:88" ht="16.5" customHeight="1" x14ac:dyDescent="0.25">
      <c r="A36" s="239">
        <v>35</v>
      </c>
      <c r="B36" s="240" t="str">
        <f>IF(法术书!X37="","",法术书!X37)</f>
        <v/>
      </c>
      <c r="C36" s="240" t="str">
        <f>IFERROR(VLOOKUP(B36,法术大全!$A:$Y,5,FALSE),"")</f>
        <v/>
      </c>
      <c r="D36" s="241" t="str">
        <f>IFERROR(VLOOKUP(B36,法术大全!$A:$Y,4,FALSE),"")</f>
        <v/>
      </c>
      <c r="E36" s="239">
        <v>35</v>
      </c>
      <c r="F36" s="242" t="str">
        <f t="shared" si="0"/>
        <v/>
      </c>
      <c r="G36" s="243"/>
      <c r="H36" s="247" t="str">
        <f>IF(主要!AG64&lt;&gt;"",主要!AG64,"")</f>
        <v/>
      </c>
      <c r="I36" s="240">
        <f>IF(VLOOKUP(H36,法术大全!$A$3:$E$594,4,0)="√",1,0)</f>
        <v>0</v>
      </c>
      <c r="J36" s="240">
        <f>IF(VLOOKUP(H36,法术大全!$A$3:$E$594,5,0)="√",1,0)</f>
        <v>0</v>
      </c>
      <c r="O36" s="320"/>
      <c r="P36" s="320"/>
      <c r="Q36" s="320"/>
      <c r="R36" s="320"/>
      <c r="S36" s="320" t="s">
        <v>4207</v>
      </c>
      <c r="BH36" s="256" t="s">
        <v>436</v>
      </c>
      <c r="BI36" s="256" t="s">
        <v>437</v>
      </c>
      <c r="BJ36" s="256" t="s">
        <v>219</v>
      </c>
      <c r="BK36" s="256">
        <v>2</v>
      </c>
      <c r="BL36" s="251"/>
      <c r="BM36" s="251"/>
      <c r="BN36" s="251"/>
      <c r="BO36" s="251"/>
      <c r="BQ36" s="251" t="s">
        <v>438</v>
      </c>
      <c r="BR36" s="240" t="s">
        <v>83</v>
      </c>
      <c r="BS36" s="251" t="s">
        <v>439</v>
      </c>
      <c r="BT36" s="251" t="s">
        <v>363</v>
      </c>
      <c r="BU36" s="240" t="s">
        <v>325</v>
      </c>
      <c r="BV36" s="240">
        <v>1</v>
      </c>
      <c r="CC36" s="263" t="s">
        <v>150</v>
      </c>
      <c r="CD36" s="241">
        <f>VLOOKUP(CC36,主要!C:J,7,FALSE)</f>
        <v>0</v>
      </c>
      <c r="CF36" s="240">
        <f>IF(主要!O45="O",1,0)</f>
        <v>0</v>
      </c>
    </row>
    <row r="37" spans="1:88" ht="16.5" customHeight="1" x14ac:dyDescent="0.25">
      <c r="A37" s="239">
        <v>36</v>
      </c>
      <c r="B37" s="240" t="str">
        <f>IF(法术书!X38="","",法术书!X38)</f>
        <v/>
      </c>
      <c r="C37" s="240" t="str">
        <f>IFERROR(VLOOKUP(B37,法术大全!$A:$Y,5,FALSE),"")</f>
        <v/>
      </c>
      <c r="D37" s="241" t="str">
        <f>IFERROR(VLOOKUP(B37,法术大全!$A:$Y,4,FALSE),"")</f>
        <v/>
      </c>
      <c r="E37" s="239">
        <v>36</v>
      </c>
      <c r="F37" s="242" t="str">
        <f t="shared" si="0"/>
        <v/>
      </c>
      <c r="G37" s="243"/>
      <c r="H37" s="247" t="str">
        <f>IF(主要!AG65&lt;&gt;"",主要!AG65,"")</f>
        <v/>
      </c>
      <c r="I37" s="240">
        <f>IF(VLOOKUP(H37,法术大全!$A$3:$E$594,4,0)="√",1,0)</f>
        <v>0</v>
      </c>
      <c r="J37" s="240">
        <f>IF(VLOOKUP(H37,法术大全!$A$3:$E$594,5,0)="√",1,0)</f>
        <v>0</v>
      </c>
      <c r="BH37" s="251" t="s">
        <v>355</v>
      </c>
      <c r="BI37" s="251" t="s">
        <v>440</v>
      </c>
      <c r="BJ37" s="251" t="s">
        <v>274</v>
      </c>
      <c r="BK37" s="251">
        <v>4</v>
      </c>
      <c r="BL37" s="251"/>
      <c r="BM37" s="251"/>
      <c r="BN37" s="251"/>
      <c r="BO37" s="251"/>
      <c r="BQ37" s="251" t="s">
        <v>441</v>
      </c>
      <c r="BR37" s="240" t="s">
        <v>83</v>
      </c>
      <c r="BS37" s="251" t="s">
        <v>442</v>
      </c>
      <c r="BT37" s="251" t="s">
        <v>363</v>
      </c>
      <c r="BU37" s="240" t="s">
        <v>290</v>
      </c>
      <c r="BV37" s="240">
        <v>1</v>
      </c>
      <c r="CC37" s="263" t="s">
        <v>443</v>
      </c>
      <c r="CD37" s="241" t="e">
        <f>VLOOKUP(CC37,主要!C:J,7,FALSE)</f>
        <v>#N/A</v>
      </c>
      <c r="CF37" s="240">
        <f>IF(主要!O46="O",1,0)</f>
        <v>0</v>
      </c>
    </row>
    <row r="38" spans="1:88" ht="16.5" customHeight="1" x14ac:dyDescent="0.25">
      <c r="A38" s="239">
        <v>37</v>
      </c>
      <c r="B38" s="240" t="str">
        <f>IF(法术书!X39="","",法术书!X39)</f>
        <v/>
      </c>
      <c r="C38" s="240" t="str">
        <f>IFERROR(VLOOKUP(B38,法术大全!$A:$Y,5,FALSE),"")</f>
        <v/>
      </c>
      <c r="D38" s="241" t="str">
        <f>IFERROR(VLOOKUP(B38,法术大全!$A:$Y,4,FALSE),"")</f>
        <v/>
      </c>
      <c r="E38" s="239">
        <v>37</v>
      </c>
      <c r="F38" s="242" t="str">
        <f t="shared" si="0"/>
        <v/>
      </c>
      <c r="G38" s="243"/>
      <c r="H38" s="247" t="str">
        <f>IF(主要!AG66&lt;&gt;"",主要!AG66,"")</f>
        <v/>
      </c>
      <c r="I38" s="240">
        <f>IF(VLOOKUP(H38,法术大全!$A$3:$E$594,4,0)="√",1,0)</f>
        <v>0</v>
      </c>
      <c r="J38" s="240">
        <f>IF(VLOOKUP(H38,法术大全!$A$3:$E$594,5,0)="√",1,0)</f>
        <v>0</v>
      </c>
      <c r="BH38" s="256" t="s">
        <v>444</v>
      </c>
      <c r="BI38" s="256" t="s">
        <v>445</v>
      </c>
      <c r="BJ38" s="256" t="s">
        <v>325</v>
      </c>
      <c r="BK38" s="256">
        <v>5</v>
      </c>
      <c r="BL38" s="251"/>
      <c r="BM38" s="251"/>
      <c r="BN38" s="251"/>
      <c r="BO38" s="251"/>
      <c r="BQ38" s="251" t="s">
        <v>446</v>
      </c>
      <c r="BR38" s="240" t="s">
        <v>82</v>
      </c>
      <c r="BS38" s="251" t="s">
        <v>447</v>
      </c>
      <c r="BT38" s="251" t="s">
        <v>363</v>
      </c>
      <c r="BU38" s="240" t="s">
        <v>219</v>
      </c>
      <c r="BV38" s="251">
        <v>2</v>
      </c>
      <c r="CC38" s="263" t="s">
        <v>448</v>
      </c>
      <c r="CD38" s="241" t="e">
        <f>VLOOKUP(CC38,主要!C:J,7,FALSE)</f>
        <v>#N/A</v>
      </c>
      <c r="CF38" s="240">
        <f>IF(主要!O47="O",1,0)</f>
        <v>0</v>
      </c>
    </row>
    <row r="39" spans="1:88" ht="16.5" customHeight="1" x14ac:dyDescent="0.25">
      <c r="A39" s="239">
        <v>38</v>
      </c>
      <c r="B39" s="240" t="str">
        <f>IF(法术书!X40="","",法术书!X40)</f>
        <v/>
      </c>
      <c r="C39" s="240" t="str">
        <f>IFERROR(VLOOKUP(B39,法术大全!$A:$Y,5,FALSE),"")</f>
        <v/>
      </c>
      <c r="D39" s="241" t="str">
        <f>IFERROR(VLOOKUP(B39,法术大全!$A:$Y,4,FALSE),"")</f>
        <v/>
      </c>
      <c r="E39" s="239">
        <v>38</v>
      </c>
      <c r="F39" s="242" t="str">
        <f t="shared" si="0"/>
        <v/>
      </c>
      <c r="G39" s="243"/>
      <c r="H39" s="247" t="str">
        <f>IF(主要!AG67&lt;&gt;"",主要!AG67,"")</f>
        <v/>
      </c>
      <c r="I39" s="240">
        <f>IF(VLOOKUP(H39,法术大全!$A$3:$E$594,4,0)="√",1,0)</f>
        <v>0</v>
      </c>
      <c r="J39" s="240">
        <f>IF(VLOOKUP(H39,法术大全!$A$3:$E$594,5,0)="√",1,0)</f>
        <v>0</v>
      </c>
      <c r="BH39" s="251" t="s">
        <v>449</v>
      </c>
      <c r="BI39" s="251" t="s">
        <v>450</v>
      </c>
      <c r="BJ39" s="251" t="s">
        <v>451</v>
      </c>
      <c r="BK39" s="251">
        <v>39</v>
      </c>
      <c r="BL39" s="251"/>
      <c r="BM39" s="251"/>
      <c r="BN39" s="251"/>
      <c r="BO39" s="251"/>
      <c r="BQ39" s="251" t="s">
        <v>452</v>
      </c>
      <c r="BR39" s="240" t="s">
        <v>81</v>
      </c>
      <c r="BS39" s="251" t="s">
        <v>453</v>
      </c>
      <c r="BT39" s="251" t="s">
        <v>454</v>
      </c>
      <c r="BU39" s="240" t="s">
        <v>223</v>
      </c>
      <c r="BV39" s="251">
        <v>2</v>
      </c>
      <c r="CC39" s="263" t="s">
        <v>162</v>
      </c>
      <c r="CD39" s="241">
        <f>VLOOKUP(CC39,主要!C:J,7,FALSE)</f>
        <v>0</v>
      </c>
      <c r="CF39" s="240">
        <f>IF(主要!AJ31="O",1,0)</f>
        <v>0</v>
      </c>
    </row>
    <row r="40" spans="1:88" ht="16.5" customHeight="1" x14ac:dyDescent="0.25">
      <c r="A40" s="239">
        <v>39</v>
      </c>
      <c r="B40" s="240" t="str">
        <f>IF(法术书!X41="","",法术书!X41)</f>
        <v/>
      </c>
      <c r="C40" s="240" t="str">
        <f>IFERROR(VLOOKUP(B40,法术大全!$A:$Y,5,FALSE),"")</f>
        <v/>
      </c>
      <c r="D40" s="241" t="str">
        <f>IFERROR(VLOOKUP(B40,法术大全!$A:$Y,4,FALSE),"")</f>
        <v/>
      </c>
      <c r="E40" s="239">
        <v>39</v>
      </c>
      <c r="F40" s="242" t="str">
        <f t="shared" si="0"/>
        <v/>
      </c>
      <c r="H40" s="247" t="str">
        <f>IF(主要!AG68&lt;&gt;"",主要!AG68,"")</f>
        <v/>
      </c>
      <c r="I40" s="240">
        <f>IF(VLOOKUP(H40,法术大全!$A$3:$E$594,4,0)="√",1,0)</f>
        <v>0</v>
      </c>
      <c r="J40" s="240">
        <f>IF(VLOOKUP(H40,法术大全!$A$3:$E$594,5,0)="√",1,0)</f>
        <v>0</v>
      </c>
      <c r="BH40" s="256" t="s">
        <v>455</v>
      </c>
      <c r="BI40" s="256" t="s">
        <v>456</v>
      </c>
      <c r="BJ40" s="256" t="s">
        <v>240</v>
      </c>
      <c r="BK40" s="256">
        <v>0</v>
      </c>
      <c r="BL40" s="251"/>
      <c r="BM40" s="251"/>
      <c r="BN40" s="251"/>
      <c r="BO40" s="251"/>
      <c r="BQ40" s="251" t="s">
        <v>457</v>
      </c>
      <c r="BR40" s="240" t="s">
        <v>79</v>
      </c>
      <c r="BS40" s="251" t="s">
        <v>458</v>
      </c>
      <c r="BT40" s="251" t="s">
        <v>363</v>
      </c>
      <c r="BU40" s="251" t="s">
        <v>219</v>
      </c>
      <c r="BV40" s="251">
        <v>1</v>
      </c>
      <c r="CC40" s="263" t="s">
        <v>165</v>
      </c>
      <c r="CD40" s="241">
        <f>VLOOKUP(CC40,主要!C:J,7,FALSE)</f>
        <v>0</v>
      </c>
    </row>
    <row r="41" spans="1:88" ht="16.5" customHeight="1" x14ac:dyDescent="0.25">
      <c r="A41" s="239">
        <v>40</v>
      </c>
      <c r="B41" s="240" t="str">
        <f>IF(法术书!X42="","",法术书!X42)</f>
        <v/>
      </c>
      <c r="C41" s="240" t="str">
        <f>IFERROR(VLOOKUP(B41,法术大全!$A:$Y,5,FALSE),"")</f>
        <v/>
      </c>
      <c r="D41" s="241" t="str">
        <f>IFERROR(VLOOKUP(B41,法术大全!$A:$Y,4,FALSE),"")</f>
        <v/>
      </c>
      <c r="E41" s="239">
        <v>40</v>
      </c>
      <c r="F41" s="242" t="str">
        <f t="shared" si="0"/>
        <v/>
      </c>
      <c r="H41" s="247" t="str">
        <f>IF(主要!AG69&lt;&gt;"",主要!AG69,"")</f>
        <v/>
      </c>
      <c r="I41" s="240">
        <f>IF(VLOOKUP(H41,法术大全!$A$3:$E$594,4,0)="√",1,0)</f>
        <v>0</v>
      </c>
      <c r="J41" s="240">
        <f>IF(VLOOKUP(H41,法术大全!$A$3:$E$594,5,0)="√",1,0)</f>
        <v>0</v>
      </c>
      <c r="BH41" s="251" t="s">
        <v>459</v>
      </c>
      <c r="BI41" s="251" t="s">
        <v>456</v>
      </c>
      <c r="BJ41" s="251" t="s">
        <v>274</v>
      </c>
      <c r="BK41" s="251">
        <v>4</v>
      </c>
      <c r="BL41" s="251"/>
      <c r="BM41" s="251"/>
      <c r="BN41" s="251"/>
      <c r="BO41" s="251"/>
      <c r="CC41" s="269" t="s">
        <v>172</v>
      </c>
      <c r="CD41" s="249">
        <f>VLOOKUP(CC41,主要!C:J,7,FALSE)</f>
        <v>0</v>
      </c>
    </row>
    <row r="42" spans="1:88" ht="16.5" customHeight="1" x14ac:dyDescent="0.25">
      <c r="A42" s="239">
        <v>41</v>
      </c>
      <c r="B42" s="240" t="str">
        <f>IF(法术书!X43="","",法术书!X43)</f>
        <v/>
      </c>
      <c r="C42" s="240" t="str">
        <f>IFERROR(VLOOKUP(B42,法术大全!$A:$Y,5,FALSE),"")</f>
        <v/>
      </c>
      <c r="D42" s="241" t="str">
        <f>IFERROR(VLOOKUP(B42,法术大全!$A:$Y,4,FALSE),"")</f>
        <v/>
      </c>
      <c r="E42" s="239">
        <v>41</v>
      </c>
      <c r="F42" s="242" t="str">
        <f t="shared" si="0"/>
        <v/>
      </c>
      <c r="H42" s="247" t="str">
        <f>IF(主要!AG70&lt;&gt;"",主要!AG70,"")</f>
        <v/>
      </c>
      <c r="I42" s="240">
        <f>IF(VLOOKUP(H42,法术大全!$A$3:$E$594,4,0)="√",1,0)</f>
        <v>0</v>
      </c>
      <c r="J42" s="240">
        <f>IF(VLOOKUP(H42,法术大全!$A$3:$E$594,5,0)="√",1,0)</f>
        <v>0</v>
      </c>
      <c r="BH42" s="256" t="s">
        <v>460</v>
      </c>
      <c r="BI42" s="256" t="s">
        <v>456</v>
      </c>
      <c r="BJ42" s="256" t="s">
        <v>244</v>
      </c>
      <c r="BK42" s="256">
        <v>1</v>
      </c>
      <c r="BL42" s="251"/>
      <c r="BM42" s="251"/>
      <c r="BN42" s="251"/>
      <c r="BO42" s="251"/>
    </row>
    <row r="43" spans="1:88" ht="16.5" customHeight="1" x14ac:dyDescent="0.25">
      <c r="A43" s="239">
        <v>42</v>
      </c>
      <c r="B43" s="240" t="str">
        <f>IF(法术书!X44="","",法术书!X44)</f>
        <v/>
      </c>
      <c r="C43" s="240" t="str">
        <f>IFERROR(VLOOKUP(B43,法术大全!$A:$Y,5,FALSE),"")</f>
        <v/>
      </c>
      <c r="D43" s="241" t="str">
        <f>IFERROR(VLOOKUP(B43,法术大全!$A:$Y,4,FALSE),"")</f>
        <v/>
      </c>
      <c r="E43" s="239">
        <v>42</v>
      </c>
      <c r="F43" s="242" t="str">
        <f t="shared" si="0"/>
        <v/>
      </c>
      <c r="H43" s="247" t="str">
        <f>IF(主要!AG71&lt;&gt;"",主要!AG71,"")</f>
        <v/>
      </c>
      <c r="I43" s="240">
        <f>IF(VLOOKUP(H43,法术大全!$A$3:$E$594,4,0)="√",1,0)</f>
        <v>0</v>
      </c>
      <c r="J43" s="240">
        <f>IF(VLOOKUP(H43,法术大全!$A$3:$E$594,5,0)="√",1,0)</f>
        <v>0</v>
      </c>
      <c r="BH43" s="251" t="s">
        <v>461</v>
      </c>
      <c r="BI43" s="251" t="s">
        <v>462</v>
      </c>
      <c r="BJ43" s="251" t="s">
        <v>435</v>
      </c>
      <c r="BK43" s="251">
        <v>55</v>
      </c>
      <c r="BL43" s="251"/>
      <c r="BM43" s="251"/>
      <c r="BN43" s="251"/>
      <c r="BO43" s="251"/>
    </row>
    <row r="44" spans="1:88" ht="16.5" customHeight="1" x14ac:dyDescent="0.25">
      <c r="A44" s="239">
        <v>43</v>
      </c>
      <c r="B44" s="240" t="str">
        <f>IF(法术书!X45="","",法术书!X45)</f>
        <v/>
      </c>
      <c r="C44" s="240" t="str">
        <f>IFERROR(VLOOKUP(B44,法术大全!$A:$Y,5,FALSE),"")</f>
        <v/>
      </c>
      <c r="D44" s="241" t="str">
        <f>IFERROR(VLOOKUP(B44,法术大全!$A:$Y,4,FALSE),"")</f>
        <v/>
      </c>
      <c r="E44" s="239">
        <v>43</v>
      </c>
      <c r="F44" s="242" t="str">
        <f t="shared" si="0"/>
        <v/>
      </c>
      <c r="G44" s="240" t="s">
        <v>463</v>
      </c>
      <c r="H44" s="246" t="str">
        <f>IF(主要!AO56&lt;&gt;"",主要!AO56,"")</f>
        <v/>
      </c>
      <c r="I44" s="240">
        <f>IF(VLOOKUP(H44,法术大全!$A$3:$E$594,4,0)="√",1,0)</f>
        <v>0</v>
      </c>
      <c r="J44" s="240">
        <f>IF(VLOOKUP(H44,法术大全!$A$3:$E$594,5,0)="√",1,0)</f>
        <v>0</v>
      </c>
      <c r="BH44" s="256" t="s">
        <v>464</v>
      </c>
      <c r="BI44" s="256" t="s">
        <v>465</v>
      </c>
      <c r="BJ44" s="256" t="s">
        <v>466</v>
      </c>
      <c r="BK44" s="256">
        <v>58.5</v>
      </c>
      <c r="BL44" s="251"/>
      <c r="BM44" s="251"/>
      <c r="BN44" s="251"/>
      <c r="BO44" s="251"/>
    </row>
    <row r="45" spans="1:88" ht="16.5" customHeight="1" x14ac:dyDescent="0.25">
      <c r="A45" s="239">
        <v>44</v>
      </c>
      <c r="B45" s="240" t="str">
        <f>IF(法术书!X46="","",法术书!X46)</f>
        <v/>
      </c>
      <c r="C45" s="240" t="str">
        <f>IFERROR(VLOOKUP(B45,法术大全!$A:$Y,5,FALSE),"")</f>
        <v/>
      </c>
      <c r="D45" s="241" t="str">
        <f>IFERROR(VLOOKUP(B45,法术大全!$A:$Y,4,FALSE),"")</f>
        <v/>
      </c>
      <c r="E45" s="239">
        <v>44</v>
      </c>
      <c r="F45" s="242" t="str">
        <f t="shared" si="0"/>
        <v/>
      </c>
      <c r="H45" s="246" t="str">
        <f>IF(主要!AO57&lt;&gt;"",主要!AO57,"")</f>
        <v/>
      </c>
      <c r="I45" s="240">
        <f>IF(VLOOKUP(H45,法术大全!$A$3:$E$594,4,0)="√",1,0)</f>
        <v>0</v>
      </c>
      <c r="J45" s="240">
        <f>IF(VLOOKUP(H45,法术大全!$A$3:$E$594,5,0)="√",1,0)</f>
        <v>0</v>
      </c>
      <c r="BH45" s="251" t="s">
        <v>467</v>
      </c>
      <c r="BI45" s="251" t="s">
        <v>468</v>
      </c>
      <c r="BJ45" s="251" t="s">
        <v>244</v>
      </c>
      <c r="BK45" s="251">
        <v>55</v>
      </c>
      <c r="BL45" s="251"/>
      <c r="BM45" s="251"/>
      <c r="BN45" s="251"/>
      <c r="BO45" s="251"/>
    </row>
    <row r="46" spans="1:88" ht="16.5" customHeight="1" x14ac:dyDescent="0.25">
      <c r="A46" s="239">
        <v>45</v>
      </c>
      <c r="B46" s="240" t="str">
        <f>IF(法术书!X47="","",法术书!X47)</f>
        <v/>
      </c>
      <c r="C46" s="240" t="str">
        <f>IFERROR(VLOOKUP(B46,法术大全!$A:$Y,5,FALSE),"")</f>
        <v/>
      </c>
      <c r="D46" s="241" t="str">
        <f>IFERROR(VLOOKUP(B46,法术大全!$A:$Y,4,FALSE),"")</f>
        <v/>
      </c>
      <c r="E46" s="239">
        <v>45</v>
      </c>
      <c r="F46" s="242" t="str">
        <f t="shared" si="0"/>
        <v/>
      </c>
      <c r="H46" s="246" t="str">
        <f>IF(主要!AO58&lt;&gt;"",主要!AO58,"")</f>
        <v/>
      </c>
      <c r="I46" s="240">
        <f>IF(VLOOKUP(H46,法术大全!$A$3:$E$594,4,0)="√",1,0)</f>
        <v>0</v>
      </c>
      <c r="J46" s="240">
        <f>IF(VLOOKUP(H46,法术大全!$A$3:$E$594,5,0)="√",1,0)</f>
        <v>0</v>
      </c>
      <c r="BH46" s="256" t="s">
        <v>469</v>
      </c>
      <c r="BI46" s="313" t="s">
        <v>4310</v>
      </c>
      <c r="BJ46" s="256" t="s">
        <v>470</v>
      </c>
      <c r="BK46" s="256">
        <v>1</v>
      </c>
      <c r="BL46" s="251"/>
      <c r="BM46" s="251"/>
      <c r="BN46" s="251"/>
      <c r="BO46" s="251"/>
    </row>
    <row r="47" spans="1:88" ht="16.5" customHeight="1" x14ac:dyDescent="0.25">
      <c r="A47" s="239">
        <v>46</v>
      </c>
      <c r="B47" s="240" t="str">
        <f>IF(法术书!X48="","",法术书!X48)</f>
        <v/>
      </c>
      <c r="C47" s="240" t="str">
        <f>IFERROR(VLOOKUP(B47,法术大全!$A:$Y,5,FALSE),"")</f>
        <v/>
      </c>
      <c r="D47" s="241" t="str">
        <f>IFERROR(VLOOKUP(B47,法术大全!$A:$Y,4,FALSE),"")</f>
        <v/>
      </c>
      <c r="E47" s="239">
        <v>46</v>
      </c>
      <c r="F47" s="242" t="str">
        <f t="shared" si="0"/>
        <v/>
      </c>
      <c r="H47" s="246" t="str">
        <f>IF(主要!AO59&lt;&gt;"",主要!AO59,"")</f>
        <v/>
      </c>
      <c r="I47" s="240">
        <f>IF(VLOOKUP(H47,法术大全!$A$3:$E$594,4,0)="√",1,0)</f>
        <v>0</v>
      </c>
      <c r="J47" s="240">
        <f>IF(VLOOKUP(H47,法术大全!$A$3:$E$594,5,0)="√",1,0)</f>
        <v>0</v>
      </c>
      <c r="BH47" s="251" t="s">
        <v>471</v>
      </c>
      <c r="BI47" s="251" t="s">
        <v>472</v>
      </c>
      <c r="BJ47" s="251" t="s">
        <v>325</v>
      </c>
      <c r="BK47" s="251">
        <v>4</v>
      </c>
      <c r="BL47" s="251"/>
      <c r="BM47" s="251"/>
      <c r="BN47" s="251"/>
      <c r="BO47" s="251"/>
    </row>
    <row r="48" spans="1:88" ht="16.5" customHeight="1" x14ac:dyDescent="0.25">
      <c r="A48" s="239">
        <v>47</v>
      </c>
      <c r="B48" s="240" t="str">
        <f>IF(法术书!X49="","",法术书!X49)</f>
        <v/>
      </c>
      <c r="C48" s="240" t="str">
        <f>IFERROR(VLOOKUP(B48,法术大全!$A:$Y,5,FALSE),"")</f>
        <v/>
      </c>
      <c r="D48" s="241" t="str">
        <f>IFERROR(VLOOKUP(B48,法术大全!$A:$Y,4,FALSE),"")</f>
        <v/>
      </c>
      <c r="E48" s="239">
        <v>47</v>
      </c>
      <c r="F48" s="242" t="str">
        <f t="shared" si="0"/>
        <v/>
      </c>
      <c r="H48" s="246" t="str">
        <f>IF(主要!AO60&lt;&gt;"",主要!AO60,"")</f>
        <v/>
      </c>
      <c r="I48" s="240">
        <f>IF(VLOOKUP(H48,法术大全!$A$3:$E$594,4,0)="√",1,0)</f>
        <v>0</v>
      </c>
      <c r="J48" s="240">
        <f>IF(VLOOKUP(H48,法术大全!$A$3:$E$594,5,0)="√",1,0)</f>
        <v>0</v>
      </c>
      <c r="BH48" s="256" t="s">
        <v>473</v>
      </c>
      <c r="BI48" s="256" t="s">
        <v>474</v>
      </c>
      <c r="BJ48" s="256" t="s">
        <v>274</v>
      </c>
      <c r="BK48" s="256">
        <v>3</v>
      </c>
      <c r="BL48" s="251"/>
      <c r="BM48" s="251"/>
      <c r="BN48" s="251"/>
      <c r="BO48" s="251"/>
      <c r="BS48" s="253"/>
    </row>
    <row r="49" spans="1:79" ht="16.5" customHeight="1" x14ac:dyDescent="0.25">
      <c r="A49" s="239">
        <v>48</v>
      </c>
      <c r="B49" s="240" t="str">
        <f>IF(法术书!X50="","",法术书!X50)</f>
        <v/>
      </c>
      <c r="C49" s="240" t="str">
        <f>IFERROR(VLOOKUP(B49,法术大全!$A:$Y,5,FALSE),"")</f>
        <v/>
      </c>
      <c r="D49" s="241" t="str">
        <f>IFERROR(VLOOKUP(B49,法术大全!$A:$Y,4,FALSE),"")</f>
        <v/>
      </c>
      <c r="E49" s="239">
        <v>48</v>
      </c>
      <c r="F49" s="242" t="str">
        <f t="shared" si="0"/>
        <v/>
      </c>
      <c r="H49" s="246" t="str">
        <f>IF(主要!AO61&lt;&gt;"",主要!AO61,"")</f>
        <v/>
      </c>
      <c r="I49" s="240">
        <f>IF(VLOOKUP(H49,法术大全!$A$3:$E$594,4,0)="√",1,0)</f>
        <v>0</v>
      </c>
      <c r="J49" s="240">
        <f>IF(VLOOKUP(H49,法术大全!$A$3:$E$594,5,0)="√",1,0)</f>
        <v>0</v>
      </c>
      <c r="BH49" s="251" t="s">
        <v>475</v>
      </c>
      <c r="BI49" s="251" t="s">
        <v>476</v>
      </c>
      <c r="BJ49" s="251" t="s">
        <v>274</v>
      </c>
      <c r="BK49" s="251">
        <v>1</v>
      </c>
      <c r="BL49" s="251"/>
      <c r="BM49" s="251"/>
      <c r="BN49" s="251"/>
      <c r="BO49" s="251"/>
      <c r="BS49" s="253"/>
      <c r="BT49" s="253"/>
      <c r="BU49" s="253"/>
      <c r="BV49" s="253"/>
      <c r="BW49" s="253"/>
      <c r="BX49" s="253"/>
      <c r="BY49" s="253"/>
      <c r="BZ49" s="253"/>
      <c r="CA49" s="253"/>
    </row>
    <row r="50" spans="1:79" ht="16.5" customHeight="1" x14ac:dyDescent="0.25">
      <c r="A50" s="239">
        <v>49</v>
      </c>
      <c r="B50" s="240" t="str">
        <f>IF(法术书!X51="","",法术书!X51)</f>
        <v/>
      </c>
      <c r="C50" s="240" t="str">
        <f>IFERROR(VLOOKUP(B50,法术大全!$A:$Y,5,FALSE),"")</f>
        <v/>
      </c>
      <c r="D50" s="241" t="str">
        <f>IFERROR(VLOOKUP(B50,法术大全!$A:$Y,4,FALSE),"")</f>
        <v/>
      </c>
      <c r="E50" s="239">
        <v>49</v>
      </c>
      <c r="F50" s="242" t="str">
        <f t="shared" si="0"/>
        <v/>
      </c>
      <c r="H50" s="246" t="str">
        <f>IF(主要!AO62&lt;&gt;"",主要!AO62,"")</f>
        <v/>
      </c>
      <c r="I50" s="240">
        <f>IF(VLOOKUP(H50,法术大全!$A$3:$E$594,4,0)="√",1,0)</f>
        <v>0</v>
      </c>
      <c r="J50" s="240">
        <f>IF(VLOOKUP(H50,法术大全!$A$3:$E$594,5,0)="√",1,0)</f>
        <v>0</v>
      </c>
      <c r="BH50" s="256" t="s">
        <v>477</v>
      </c>
      <c r="BI50" s="256" t="s">
        <v>476</v>
      </c>
      <c r="BJ50" s="256" t="s">
        <v>274</v>
      </c>
      <c r="BK50" s="256">
        <v>0</v>
      </c>
      <c r="BL50" s="251"/>
      <c r="BM50" s="251"/>
      <c r="BN50" s="251"/>
      <c r="BO50" s="251"/>
      <c r="BS50" s="253"/>
      <c r="BT50" s="253"/>
      <c r="BU50" s="253"/>
      <c r="BV50" s="253"/>
      <c r="BW50" s="254"/>
      <c r="BX50" s="253"/>
      <c r="BY50" s="253"/>
      <c r="BZ50" s="253"/>
      <c r="CA50" s="253"/>
    </row>
    <row r="51" spans="1:79" ht="16.5" customHeight="1" x14ac:dyDescent="0.25">
      <c r="A51" s="239">
        <v>50</v>
      </c>
      <c r="B51" s="240" t="str">
        <f>IF(法术书!X52="","",法术书!X52)</f>
        <v/>
      </c>
      <c r="C51" s="240" t="str">
        <f>IFERROR(VLOOKUP(B51,法术大全!$A:$Y,5,FALSE),"")</f>
        <v/>
      </c>
      <c r="D51" s="241" t="str">
        <f>IFERROR(VLOOKUP(B51,法术大全!$A:$Y,4,FALSE),"")</f>
        <v/>
      </c>
      <c r="E51" s="239">
        <v>50</v>
      </c>
      <c r="F51" s="242" t="str">
        <f t="shared" si="0"/>
        <v/>
      </c>
      <c r="H51" s="246" t="str">
        <f>IF(主要!AO63&lt;&gt;"",主要!AO63,"")</f>
        <v/>
      </c>
      <c r="I51" s="240">
        <f>IF(VLOOKUP(H51,法术大全!$A$3:$E$594,4,0)="√",1,0)</f>
        <v>0</v>
      </c>
      <c r="J51" s="240">
        <f>IF(VLOOKUP(H51,法术大全!$A$3:$E$594,5,0)="√",1,0)</f>
        <v>0</v>
      </c>
      <c r="BH51" s="251" t="s">
        <v>478</v>
      </c>
      <c r="BI51" s="251" t="s">
        <v>476</v>
      </c>
      <c r="BJ51" s="251" t="s">
        <v>274</v>
      </c>
      <c r="BK51" s="251">
        <v>2</v>
      </c>
      <c r="BL51" s="251"/>
      <c r="BM51" s="251"/>
      <c r="BN51" s="251"/>
      <c r="BO51" s="251"/>
      <c r="BS51" s="253"/>
      <c r="BT51" s="253"/>
      <c r="BU51" s="253"/>
      <c r="BV51" s="253"/>
      <c r="BW51" s="253"/>
      <c r="BX51" s="253"/>
      <c r="BY51" s="253"/>
      <c r="BZ51" s="253"/>
      <c r="CA51" s="253"/>
    </row>
    <row r="52" spans="1:79" ht="16.5" customHeight="1" x14ac:dyDescent="0.25">
      <c r="A52" s="239">
        <v>51</v>
      </c>
      <c r="B52" s="240" t="str">
        <f>IF(法术书!AC3="","",法术书!AC3)</f>
        <v/>
      </c>
      <c r="C52" s="240" t="str">
        <f>IFERROR(VLOOKUP(B52,法术大全!$A:$Y,5,FALSE),"")</f>
        <v/>
      </c>
      <c r="D52" s="241" t="str">
        <f>IFERROR(VLOOKUP(B52,法术大全!$A:$Y,4,FALSE),"")</f>
        <v/>
      </c>
      <c r="E52" s="239">
        <v>51</v>
      </c>
      <c r="F52" s="242" t="str">
        <f t="shared" ref="F52:F65" si="6">B52</f>
        <v/>
      </c>
      <c r="H52" s="246" t="str">
        <f>IF(主要!AO64&lt;&gt;"",主要!AO64,"")</f>
        <v/>
      </c>
      <c r="I52" s="240">
        <f>IF(VLOOKUP(H52,法术大全!$A$3:$E$594,4,0)="√",1,0)</f>
        <v>0</v>
      </c>
      <c r="J52" s="240">
        <f>IF(VLOOKUP(H52,法术大全!$A$3:$E$594,5,0)="√",1,0)</f>
        <v>0</v>
      </c>
      <c r="BH52" s="256" t="s">
        <v>479</v>
      </c>
      <c r="BI52" s="256" t="s">
        <v>480</v>
      </c>
      <c r="BJ52" s="256" t="s">
        <v>219</v>
      </c>
      <c r="BK52" s="256">
        <v>1</v>
      </c>
      <c r="BL52" s="251"/>
      <c r="BM52" s="251"/>
      <c r="BN52" s="251"/>
      <c r="BO52" s="251"/>
      <c r="BS52" s="253"/>
      <c r="BT52" s="253"/>
      <c r="BU52" s="253"/>
      <c r="BV52" s="253"/>
      <c r="BW52" s="254"/>
      <c r="BX52" s="253"/>
      <c r="BY52" s="253"/>
      <c r="BZ52" s="253"/>
      <c r="CA52" s="253"/>
    </row>
    <row r="53" spans="1:79" ht="16.5" customHeight="1" x14ac:dyDescent="0.25">
      <c r="A53" s="239">
        <v>52</v>
      </c>
      <c r="B53" s="240" t="str">
        <f>IF(法术书!AC4="","",法术书!AC4)</f>
        <v/>
      </c>
      <c r="C53" s="240" t="str">
        <f>IFERROR(VLOOKUP(B53,法术大全!$A:$Y,5,FALSE),"")</f>
        <v/>
      </c>
      <c r="D53" s="241" t="str">
        <f>IFERROR(VLOOKUP(B53,法术大全!$A:$Y,4,FALSE),"")</f>
        <v/>
      </c>
      <c r="E53" s="239">
        <v>52</v>
      </c>
      <c r="F53" s="242" t="str">
        <f t="shared" si="6"/>
        <v/>
      </c>
      <c r="H53" s="246" t="str">
        <f>IF(主要!AO65&lt;&gt;"",主要!AO65,"")</f>
        <v/>
      </c>
      <c r="I53" s="240">
        <f>IF(VLOOKUP(H53,法术大全!$A$3:$E$594,4,0)="√",1,0)</f>
        <v>0</v>
      </c>
      <c r="J53" s="240">
        <f>IF(VLOOKUP(H53,法术大全!$A$3:$E$594,5,0)="√",1,0)</f>
        <v>0</v>
      </c>
      <c r="BH53" s="251" t="s">
        <v>481</v>
      </c>
      <c r="BI53" s="251" t="s">
        <v>482</v>
      </c>
      <c r="BJ53" s="251" t="s">
        <v>274</v>
      </c>
      <c r="BK53" s="251">
        <v>25</v>
      </c>
      <c r="BL53" s="251"/>
      <c r="BM53" s="251"/>
      <c r="BN53" s="251"/>
      <c r="BO53" s="251"/>
      <c r="BS53" s="253"/>
      <c r="BT53" s="253"/>
      <c r="BU53" s="253"/>
      <c r="BV53" s="253"/>
      <c r="BW53" s="253"/>
      <c r="BX53" s="253"/>
      <c r="BY53" s="253"/>
      <c r="BZ53" s="253"/>
      <c r="CA53" s="253"/>
    </row>
    <row r="54" spans="1:79" ht="16.5" customHeight="1" x14ac:dyDescent="0.25">
      <c r="A54" s="239">
        <v>53</v>
      </c>
      <c r="B54" s="240" t="str">
        <f>IF(法术书!AC5="","",法术书!AC5)</f>
        <v/>
      </c>
      <c r="C54" s="240" t="str">
        <f>IFERROR(VLOOKUP(B54,法术大全!$A:$Y,5,FALSE),"")</f>
        <v/>
      </c>
      <c r="D54" s="241" t="str">
        <f>IFERROR(VLOOKUP(B54,法术大全!$A:$Y,4,FALSE),"")</f>
        <v/>
      </c>
      <c r="E54" s="239">
        <v>53</v>
      </c>
      <c r="F54" s="242" t="str">
        <f t="shared" si="6"/>
        <v/>
      </c>
      <c r="H54" s="246" t="str">
        <f>IF(主要!AO66&lt;&gt;"",主要!AO66,"")</f>
        <v/>
      </c>
      <c r="I54" s="240">
        <f>IF(VLOOKUP(H54,法术大全!$A$3:$E$594,4,0)="√",1,0)</f>
        <v>0</v>
      </c>
      <c r="J54" s="240">
        <f>IF(VLOOKUP(H54,法术大全!$A$3:$E$594,5,0)="√",1,0)</f>
        <v>0</v>
      </c>
      <c r="BH54" s="256" t="s">
        <v>483</v>
      </c>
      <c r="BI54" s="256" t="s">
        <v>484</v>
      </c>
      <c r="BJ54" s="256" t="s">
        <v>244</v>
      </c>
      <c r="BK54" s="256">
        <v>0</v>
      </c>
      <c r="BL54" s="251"/>
      <c r="BM54" s="251"/>
      <c r="BN54" s="251"/>
      <c r="BO54" s="251"/>
      <c r="BS54" s="253"/>
      <c r="BT54" s="253"/>
      <c r="BU54" s="253"/>
      <c r="BV54" s="253"/>
      <c r="BW54" s="254"/>
      <c r="BX54" s="253"/>
      <c r="BY54" s="253"/>
      <c r="BZ54" s="253"/>
      <c r="CA54" s="253"/>
    </row>
    <row r="55" spans="1:79" ht="16.5" customHeight="1" x14ac:dyDescent="0.25">
      <c r="A55" s="239">
        <v>54</v>
      </c>
      <c r="B55" s="240" t="str">
        <f>IF(法术书!AC6="","",法术书!AC6)</f>
        <v/>
      </c>
      <c r="C55" s="240" t="str">
        <f>IFERROR(VLOOKUP(B55,法术大全!$A:$Y,5,FALSE),"")</f>
        <v/>
      </c>
      <c r="D55" s="241" t="str">
        <f>IFERROR(VLOOKUP(B55,法术大全!$A:$Y,4,FALSE),"")</f>
        <v/>
      </c>
      <c r="E55" s="239">
        <v>54</v>
      </c>
      <c r="F55" s="242" t="str">
        <f t="shared" si="6"/>
        <v/>
      </c>
      <c r="H55" s="246" t="str">
        <f>IF(主要!AO67&lt;&gt;"",主要!AO67,"")</f>
        <v/>
      </c>
      <c r="I55" s="240">
        <f>IF(VLOOKUP(H55,法术大全!$A$3:$E$594,4,0)="√",1,0)</f>
        <v>0</v>
      </c>
      <c r="J55" s="240">
        <f>IF(VLOOKUP(H55,法术大全!$A$3:$E$594,5,0)="√",1,0)</f>
        <v>0</v>
      </c>
      <c r="BH55" s="256" t="s">
        <v>485</v>
      </c>
      <c r="BI55" s="256" t="s">
        <v>486</v>
      </c>
      <c r="BJ55" s="256" t="s">
        <v>470</v>
      </c>
      <c r="BK55" s="256">
        <v>0</v>
      </c>
      <c r="BL55" s="251"/>
      <c r="BM55" s="251"/>
      <c r="BN55" s="251"/>
      <c r="BO55" s="251"/>
      <c r="BS55" s="253"/>
      <c r="BT55" s="253"/>
      <c r="BU55" s="253"/>
      <c r="BV55" s="253"/>
      <c r="BW55" s="253"/>
      <c r="BX55" s="253"/>
      <c r="BY55" s="253"/>
      <c r="BZ55" s="253"/>
      <c r="CA55" s="253"/>
    </row>
    <row r="56" spans="1:79" ht="16.5" customHeight="1" x14ac:dyDescent="0.25">
      <c r="A56" s="239">
        <v>55</v>
      </c>
      <c r="B56" s="240" t="str">
        <f>IF(法术书!AC7="","",法术书!AC7)</f>
        <v/>
      </c>
      <c r="C56" s="240" t="str">
        <f>IFERROR(VLOOKUP(B56,法术大全!$A:$Y,5,FALSE),"")</f>
        <v/>
      </c>
      <c r="D56" s="241" t="str">
        <f>IFERROR(VLOOKUP(B56,法术大全!$A:$Y,4,FALSE),"")</f>
        <v/>
      </c>
      <c r="E56" s="239">
        <v>55</v>
      </c>
      <c r="F56" s="242" t="str">
        <f t="shared" si="6"/>
        <v/>
      </c>
      <c r="H56" s="246" t="str">
        <f>IF(主要!AO68&lt;&gt;"",主要!AO68,"")</f>
        <v/>
      </c>
      <c r="I56" s="240">
        <f>IF(VLOOKUP(H56,法术大全!$A$3:$E$594,4,0)="√",1,0)</f>
        <v>0</v>
      </c>
      <c r="J56" s="240">
        <f>IF(VLOOKUP(H56,法术大全!$A$3:$E$594,5,0)="√",1,0)</f>
        <v>0</v>
      </c>
      <c r="BH56" s="251" t="s">
        <v>487</v>
      </c>
      <c r="BI56" s="251" t="s">
        <v>488</v>
      </c>
      <c r="BJ56" s="251" t="s">
        <v>470</v>
      </c>
      <c r="BK56" s="251">
        <v>4</v>
      </c>
      <c r="BL56" s="251"/>
      <c r="BM56" s="251"/>
      <c r="BN56" s="251"/>
      <c r="BO56" s="251"/>
      <c r="BS56" s="253"/>
      <c r="BT56" s="253"/>
      <c r="BU56" s="253"/>
      <c r="BV56" s="253"/>
      <c r="BW56" s="254"/>
      <c r="BX56" s="253"/>
      <c r="BY56" s="253"/>
      <c r="BZ56" s="253"/>
      <c r="CA56" s="253"/>
    </row>
    <row r="57" spans="1:79" ht="16.5" customHeight="1" x14ac:dyDescent="0.25">
      <c r="A57" s="239">
        <v>56</v>
      </c>
      <c r="B57" s="240" t="str">
        <f>IF(法术书!AC8="","",法术书!AC8)</f>
        <v/>
      </c>
      <c r="C57" s="240" t="str">
        <f>IFERROR(VLOOKUP(B57,法术大全!$A:$Y,5,FALSE),"")</f>
        <v/>
      </c>
      <c r="D57" s="241" t="str">
        <f>IFERROR(VLOOKUP(B57,法术大全!$A:$Y,4,FALSE),"")</f>
        <v/>
      </c>
      <c r="E57" s="239">
        <v>56</v>
      </c>
      <c r="F57" s="242" t="str">
        <f t="shared" si="6"/>
        <v/>
      </c>
      <c r="H57" s="246" t="str">
        <f>IF(主要!AO69&lt;&gt;"",主要!AO69,"")</f>
        <v/>
      </c>
      <c r="I57" s="240">
        <f>IF(VLOOKUP(H57,法术大全!$A$3:$E$594,4,0)="√",1,0)</f>
        <v>0</v>
      </c>
      <c r="J57" s="240">
        <f>IF(VLOOKUP(H57,法术大全!$A$3:$E$594,5,0)="√",1,0)</f>
        <v>0</v>
      </c>
      <c r="BH57" s="256" t="s">
        <v>489</v>
      </c>
      <c r="BI57" s="256" t="s">
        <v>490</v>
      </c>
      <c r="BJ57" s="256" t="s">
        <v>376</v>
      </c>
      <c r="BK57" s="256">
        <v>25</v>
      </c>
      <c r="BL57" s="251"/>
      <c r="BM57" s="251"/>
      <c r="BN57" s="251"/>
      <c r="BO57" s="251"/>
      <c r="BS57" s="253"/>
      <c r="BT57" s="253"/>
      <c r="BU57" s="253"/>
      <c r="BV57" s="253"/>
      <c r="BW57" s="253"/>
      <c r="BX57" s="253"/>
      <c r="BY57" s="253"/>
      <c r="BZ57" s="253"/>
      <c r="CA57" s="253"/>
    </row>
    <row r="58" spans="1:79" ht="16.5" customHeight="1" x14ac:dyDescent="0.25">
      <c r="A58" s="239">
        <v>57</v>
      </c>
      <c r="B58" s="240" t="str">
        <f>IF(法术书!AC9="","",法术书!AC9)</f>
        <v/>
      </c>
      <c r="C58" s="240" t="str">
        <f>IFERROR(VLOOKUP(B58,法术大全!$A:$Y,5,FALSE),"")</f>
        <v/>
      </c>
      <c r="D58" s="241" t="str">
        <f>IFERROR(VLOOKUP(B58,法术大全!$A:$Y,4,FALSE),"")</f>
        <v/>
      </c>
      <c r="E58" s="239">
        <v>57</v>
      </c>
      <c r="F58" s="242" t="str">
        <f t="shared" si="6"/>
        <v/>
      </c>
      <c r="H58" s="246" t="str">
        <f>IF(主要!AO70&lt;&gt;"",主要!AO70,"")</f>
        <v/>
      </c>
      <c r="I58" s="240">
        <f>IF(VLOOKUP(H58,法术大全!$A$3:$E$594,4,0)="√",1,0)</f>
        <v>0</v>
      </c>
      <c r="J58" s="240">
        <f>IF(VLOOKUP(H58,法术大全!$A$3:$E$594,5,0)="√",1,0)</f>
        <v>0</v>
      </c>
      <c r="BH58" s="251" t="s">
        <v>491</v>
      </c>
      <c r="BI58" s="251" t="s">
        <v>492</v>
      </c>
      <c r="BJ58" s="251" t="s">
        <v>368</v>
      </c>
      <c r="BK58" s="251">
        <v>1</v>
      </c>
      <c r="BL58" s="251"/>
      <c r="BM58" s="251"/>
      <c r="BN58" s="251"/>
      <c r="BO58" s="251"/>
      <c r="BS58" s="253"/>
      <c r="BT58" s="253"/>
      <c r="BU58" s="253"/>
      <c r="BV58" s="253"/>
      <c r="BW58" s="254"/>
      <c r="BX58" s="253"/>
      <c r="BY58" s="253"/>
      <c r="BZ58" s="253"/>
      <c r="CA58" s="253"/>
    </row>
    <row r="59" spans="1:79" ht="16.5" customHeight="1" x14ac:dyDescent="0.25">
      <c r="A59" s="239">
        <v>58</v>
      </c>
      <c r="B59" s="240" t="str">
        <f>IF(法术书!AC10="","",法术书!AC10)</f>
        <v/>
      </c>
      <c r="C59" s="240" t="str">
        <f>IFERROR(VLOOKUP(B59,法术大全!$A:$Y,5,FALSE),"")</f>
        <v/>
      </c>
      <c r="D59" s="241" t="str">
        <f>IFERROR(VLOOKUP(B59,法术大全!$A:$Y,4,FALSE),"")</f>
        <v/>
      </c>
      <c r="E59" s="239">
        <v>58</v>
      </c>
      <c r="F59" s="242" t="str">
        <f t="shared" si="6"/>
        <v/>
      </c>
      <c r="H59" s="246" t="str">
        <f>IF(主要!AO71&lt;&gt;"",主要!AO71,"")</f>
        <v/>
      </c>
      <c r="I59" s="240">
        <f>IF(VLOOKUP(H59,法术大全!$A$3:$E$594,4,0)="√",1,0)</f>
        <v>0</v>
      </c>
      <c r="J59" s="240">
        <f>IF(VLOOKUP(H59,法术大全!$A$3:$E$594,5,0)="√",1,0)</f>
        <v>0</v>
      </c>
      <c r="BH59" s="256" t="s">
        <v>493</v>
      </c>
      <c r="BI59" s="256" t="s">
        <v>494</v>
      </c>
      <c r="BJ59" s="256" t="s">
        <v>244</v>
      </c>
      <c r="BK59" s="256">
        <v>2</v>
      </c>
      <c r="BL59" s="251"/>
      <c r="BM59" s="251"/>
      <c r="BN59" s="251"/>
      <c r="BO59" s="251"/>
      <c r="BS59" s="253"/>
      <c r="BT59" s="253"/>
      <c r="BU59" s="253"/>
      <c r="BV59" s="253"/>
      <c r="BW59" s="253"/>
      <c r="BX59" s="253"/>
      <c r="BY59" s="253"/>
      <c r="BZ59" s="253"/>
      <c r="CA59" s="253"/>
    </row>
    <row r="60" spans="1:79" ht="16.5" customHeight="1" x14ac:dyDescent="0.25">
      <c r="A60" s="239">
        <v>59</v>
      </c>
      <c r="B60" s="240" t="str">
        <f>IF(法术书!AC11="","",法术书!AC11)</f>
        <v/>
      </c>
      <c r="C60" s="240" t="str">
        <f>IFERROR(VLOOKUP(B60,法术大全!$A:$Y,5,FALSE),"")</f>
        <v/>
      </c>
      <c r="D60" s="241" t="str">
        <f>IFERROR(VLOOKUP(B60,法术大全!$A:$Y,4,FALSE),"")</f>
        <v/>
      </c>
      <c r="E60" s="239">
        <v>59</v>
      </c>
      <c r="F60" s="242" t="str">
        <f t="shared" si="6"/>
        <v/>
      </c>
      <c r="BH60" s="251" t="s">
        <v>495</v>
      </c>
      <c r="BI60" s="251" t="s">
        <v>496</v>
      </c>
      <c r="BJ60" s="251" t="s">
        <v>274</v>
      </c>
      <c r="BK60" s="251">
        <v>2</v>
      </c>
      <c r="BL60" s="251"/>
      <c r="BM60" s="251"/>
      <c r="BN60" s="251"/>
      <c r="BO60" s="251"/>
      <c r="BS60" s="253"/>
      <c r="BT60" s="253"/>
      <c r="BU60" s="253"/>
      <c r="BV60" s="253"/>
      <c r="BW60" s="254"/>
      <c r="BX60" s="253"/>
      <c r="BY60" s="253"/>
      <c r="BZ60" s="253"/>
      <c r="CA60" s="253"/>
    </row>
    <row r="61" spans="1:79" ht="16.5" customHeight="1" x14ac:dyDescent="0.25">
      <c r="A61" s="239">
        <v>60</v>
      </c>
      <c r="B61" s="240" t="str">
        <f>IF(法术书!AC12="","",法术书!AC12)</f>
        <v/>
      </c>
      <c r="C61" s="240" t="str">
        <f>IFERROR(VLOOKUP(B61,法术大全!$A:$Y,5,FALSE),"")</f>
        <v/>
      </c>
      <c r="D61" s="241" t="str">
        <f>IFERROR(VLOOKUP(B61,法术大全!$A:$Y,4,FALSE),"")</f>
        <v/>
      </c>
      <c r="E61" s="239">
        <v>60</v>
      </c>
      <c r="F61" s="242" t="str">
        <f t="shared" si="6"/>
        <v/>
      </c>
      <c r="BH61" s="256" t="s">
        <v>497</v>
      </c>
      <c r="BI61" s="256" t="s">
        <v>498</v>
      </c>
      <c r="BJ61" s="256" t="s">
        <v>244</v>
      </c>
      <c r="BK61" s="256">
        <v>1</v>
      </c>
      <c r="BL61" s="251"/>
      <c r="BM61" s="251"/>
      <c r="BN61" s="251"/>
      <c r="BO61" s="251"/>
      <c r="BS61" s="253"/>
      <c r="BT61" s="253"/>
      <c r="BU61" s="253"/>
      <c r="BV61" s="253"/>
      <c r="BW61" s="253"/>
      <c r="BX61" s="253"/>
      <c r="BY61" s="253"/>
      <c r="BZ61" s="253"/>
      <c r="CA61" s="253"/>
    </row>
    <row r="62" spans="1:79" ht="16.5" customHeight="1" x14ac:dyDescent="0.25">
      <c r="A62" s="239">
        <v>61</v>
      </c>
      <c r="B62" s="240" t="str">
        <f>IF(法术书!AC13="","",法术书!AC13)</f>
        <v/>
      </c>
      <c r="C62" s="240" t="str">
        <f>IFERROR(VLOOKUP(B62,法术大全!$A:$Y,5,FALSE),"")</f>
        <v/>
      </c>
      <c r="D62" s="241" t="str">
        <f>IFERROR(VLOOKUP(B62,法术大全!$A:$Y,4,FALSE),"")</f>
        <v/>
      </c>
      <c r="E62" s="239">
        <v>61</v>
      </c>
      <c r="F62" s="242" t="str">
        <f t="shared" si="6"/>
        <v/>
      </c>
      <c r="BH62" s="251" t="s">
        <v>499</v>
      </c>
      <c r="BI62" s="251" t="s">
        <v>500</v>
      </c>
      <c r="BJ62" s="251" t="s">
        <v>501</v>
      </c>
      <c r="BK62" s="251">
        <v>0</v>
      </c>
      <c r="BL62" s="251"/>
      <c r="BM62" s="251"/>
      <c r="BN62" s="251"/>
      <c r="BO62" s="251"/>
      <c r="BS62" s="253"/>
      <c r="BT62" s="253"/>
      <c r="BU62" s="253"/>
      <c r="BV62" s="253"/>
      <c r="BW62" s="254"/>
      <c r="BX62" s="253"/>
      <c r="BY62" s="253"/>
      <c r="BZ62" s="253"/>
      <c r="CA62" s="253"/>
    </row>
    <row r="63" spans="1:79" ht="16.5" customHeight="1" x14ac:dyDescent="0.25">
      <c r="A63" s="239">
        <v>62</v>
      </c>
      <c r="B63" s="240" t="str">
        <f>IF(法术书!AC14="","",法术书!AC14)</f>
        <v/>
      </c>
      <c r="C63" s="240" t="str">
        <f>IFERROR(VLOOKUP(B63,法术大全!$A:$Y,5,FALSE),"")</f>
        <v/>
      </c>
      <c r="D63" s="241" t="str">
        <f>IFERROR(VLOOKUP(B63,法术大全!$A:$Y,4,FALSE),"")</f>
        <v/>
      </c>
      <c r="E63" s="239">
        <v>62</v>
      </c>
      <c r="F63" s="242" t="str">
        <f t="shared" si="6"/>
        <v/>
      </c>
      <c r="BH63" s="256" t="s">
        <v>502</v>
      </c>
      <c r="BI63" s="256" t="s">
        <v>503</v>
      </c>
      <c r="BJ63" s="256" t="s">
        <v>325</v>
      </c>
      <c r="BK63" s="256">
        <v>6</v>
      </c>
      <c r="BL63" s="251"/>
      <c r="BM63" s="251"/>
      <c r="BN63" s="251"/>
      <c r="BO63" s="251"/>
      <c r="BS63" s="253"/>
      <c r="BT63" s="253"/>
      <c r="BU63" s="253"/>
      <c r="BV63" s="253"/>
      <c r="BW63" s="253"/>
      <c r="BX63" s="253"/>
      <c r="BY63" s="253"/>
      <c r="BZ63" s="253"/>
      <c r="CA63" s="253"/>
    </row>
    <row r="64" spans="1:79" ht="16.5" customHeight="1" x14ac:dyDescent="0.25">
      <c r="A64" s="239">
        <v>63</v>
      </c>
      <c r="B64" s="240" t="str">
        <f>IF(法术书!AC15="","",法术书!AC15)</f>
        <v/>
      </c>
      <c r="C64" s="240" t="str">
        <f>IFERROR(VLOOKUP(B64,法术大全!$A:$Y,5,FALSE),"")</f>
        <v/>
      </c>
      <c r="D64" s="241" t="str">
        <f>IFERROR(VLOOKUP(B64,法术大全!$A:$Y,4,FALSE),"")</f>
        <v/>
      </c>
      <c r="E64" s="239">
        <v>63</v>
      </c>
      <c r="F64" s="242" t="str">
        <f t="shared" si="6"/>
        <v/>
      </c>
      <c r="BH64" s="251" t="s">
        <v>263</v>
      </c>
      <c r="BI64" s="251" t="s">
        <v>504</v>
      </c>
      <c r="BJ64" s="251" t="s">
        <v>240</v>
      </c>
      <c r="BK64" s="251">
        <v>0</v>
      </c>
      <c r="BL64" s="251"/>
      <c r="BM64" s="251"/>
      <c r="BN64" s="251"/>
      <c r="BO64" s="251"/>
      <c r="BS64" s="253"/>
      <c r="BT64" s="253"/>
      <c r="BU64" s="253"/>
      <c r="BV64" s="253"/>
      <c r="BW64" s="254"/>
      <c r="BX64" s="253"/>
      <c r="BY64" s="253"/>
      <c r="BZ64" s="253"/>
      <c r="CA64" s="253"/>
    </row>
    <row r="65" spans="1:79" ht="16.5" customHeight="1" x14ac:dyDescent="0.25">
      <c r="A65" s="239">
        <v>64</v>
      </c>
      <c r="B65" s="240" t="str">
        <f>IF(法术书!AC16="","",法术书!AC16)</f>
        <v/>
      </c>
      <c r="C65" s="240" t="str">
        <f>IFERROR(VLOOKUP(B65,法术大全!$A:$Y,5,FALSE),"")</f>
        <v/>
      </c>
      <c r="D65" s="241" t="str">
        <f>IFERROR(VLOOKUP(B65,法术大全!$A:$Y,4,FALSE),"")</f>
        <v/>
      </c>
      <c r="E65" s="239">
        <v>64</v>
      </c>
      <c r="F65" s="242" t="str">
        <f t="shared" si="6"/>
        <v/>
      </c>
      <c r="BH65" s="259" t="s">
        <v>505</v>
      </c>
      <c r="BI65" s="259" t="s">
        <v>506</v>
      </c>
      <c r="BJ65" s="259" t="s">
        <v>274</v>
      </c>
      <c r="BK65" s="259">
        <v>0</v>
      </c>
      <c r="BL65" s="251"/>
      <c r="BM65" s="251"/>
      <c r="BN65" s="251"/>
      <c r="BO65" s="251"/>
      <c r="BS65" s="253"/>
      <c r="BT65" s="253"/>
      <c r="BU65" s="253"/>
      <c r="BV65" s="253"/>
      <c r="BW65" s="253"/>
      <c r="BX65" s="253"/>
      <c r="BY65" s="253"/>
      <c r="BZ65" s="253"/>
      <c r="CA65" s="253"/>
    </row>
    <row r="66" spans="1:79" ht="16.5" customHeight="1" x14ac:dyDescent="0.25">
      <c r="A66" s="239">
        <v>65</v>
      </c>
      <c r="B66" s="240" t="str">
        <f>IF(法术书!AC17="","",法术书!AC17)</f>
        <v/>
      </c>
      <c r="C66" s="240" t="str">
        <f>IFERROR(VLOOKUP(B66,法术大全!$A:$Y,5,FALSE),"")</f>
        <v/>
      </c>
      <c r="D66" s="241" t="str">
        <f>IFERROR(VLOOKUP(B66,法术大全!$A:$Y,4,FALSE),"")</f>
        <v/>
      </c>
      <c r="E66" s="239">
        <v>65</v>
      </c>
      <c r="F66" s="242" t="str">
        <f t="shared" ref="F66:F101" si="7">B66</f>
        <v/>
      </c>
      <c r="BH66" s="251" t="s">
        <v>507</v>
      </c>
      <c r="BI66" s="251" t="s">
        <v>508</v>
      </c>
      <c r="BJ66" s="251" t="s">
        <v>240</v>
      </c>
      <c r="BK66" s="251">
        <v>3</v>
      </c>
      <c r="BL66" s="251"/>
      <c r="BM66" s="251"/>
      <c r="BN66" s="251"/>
      <c r="BO66" s="251"/>
      <c r="BS66" s="253"/>
      <c r="BT66" s="253"/>
      <c r="BU66" s="253"/>
      <c r="BV66" s="253"/>
      <c r="BW66" s="254"/>
      <c r="BX66" s="253"/>
      <c r="BY66" s="253"/>
      <c r="BZ66" s="253"/>
      <c r="CA66" s="253"/>
    </row>
    <row r="67" spans="1:79" ht="16.5" customHeight="1" x14ac:dyDescent="0.25">
      <c r="A67" s="239">
        <v>66</v>
      </c>
      <c r="B67" s="240" t="str">
        <f>IF(法术书!AC18="","",法术书!AC18)</f>
        <v/>
      </c>
      <c r="C67" s="240" t="str">
        <f>IFERROR(VLOOKUP(B67,法术大全!$A:$Y,5,FALSE),"")</f>
        <v/>
      </c>
      <c r="D67" s="241" t="str">
        <f>IFERROR(VLOOKUP(B67,法术大全!$A:$Y,4,FALSE),"")</f>
        <v/>
      </c>
      <c r="E67" s="239">
        <v>66</v>
      </c>
      <c r="F67" s="242" t="str">
        <f t="shared" si="7"/>
        <v/>
      </c>
      <c r="BH67" s="259" t="s">
        <v>509</v>
      </c>
      <c r="BI67" s="259" t="s">
        <v>510</v>
      </c>
      <c r="BJ67" s="259" t="s">
        <v>376</v>
      </c>
      <c r="BK67" s="259">
        <v>1</v>
      </c>
      <c r="BL67" s="251"/>
      <c r="BM67" s="251"/>
      <c r="BN67" s="251"/>
      <c r="BO67" s="251"/>
      <c r="BS67" s="253"/>
      <c r="BT67" s="253"/>
      <c r="BU67" s="253"/>
      <c r="BV67" s="253"/>
      <c r="BW67" s="253"/>
      <c r="BX67" s="253"/>
      <c r="BY67" s="253"/>
      <c r="BZ67" s="253"/>
      <c r="CA67" s="253"/>
    </row>
    <row r="68" spans="1:79" ht="16.5" customHeight="1" x14ac:dyDescent="0.25">
      <c r="A68" s="239">
        <v>67</v>
      </c>
      <c r="B68" s="240" t="str">
        <f>IF(法术书!AC19="","",法术书!AC19)</f>
        <v/>
      </c>
      <c r="C68" s="240" t="str">
        <f>IFERROR(VLOOKUP(B68,法术大全!$A:$Y,5,FALSE),"")</f>
        <v/>
      </c>
      <c r="D68" s="241" t="str">
        <f>IFERROR(VLOOKUP(B68,法术大全!$A:$Y,4,FALSE),"")</f>
        <v/>
      </c>
      <c r="E68" s="239">
        <v>67</v>
      </c>
      <c r="F68" s="242" t="str">
        <f t="shared" si="7"/>
        <v/>
      </c>
      <c r="BH68" s="251" t="s">
        <v>511</v>
      </c>
      <c r="BI68" s="251" t="s">
        <v>512</v>
      </c>
      <c r="BJ68" s="251" t="s">
        <v>513</v>
      </c>
      <c r="BK68" s="251">
        <v>0</v>
      </c>
      <c r="BL68" s="251"/>
      <c r="BM68" s="251"/>
      <c r="BN68" s="251"/>
      <c r="BO68" s="251"/>
      <c r="BS68" s="253"/>
      <c r="BT68" s="253"/>
      <c r="BU68" s="253"/>
      <c r="BV68" s="253"/>
      <c r="BW68" s="253"/>
      <c r="BX68" s="253"/>
      <c r="BY68" s="253"/>
      <c r="BZ68" s="253"/>
      <c r="CA68" s="253"/>
    </row>
    <row r="69" spans="1:79" ht="16.5" customHeight="1" x14ac:dyDescent="0.25">
      <c r="A69" s="239">
        <v>68</v>
      </c>
      <c r="B69" s="240" t="str">
        <f>IF(法术书!AC20="","",法术书!AC20)</f>
        <v/>
      </c>
      <c r="C69" s="240" t="str">
        <f>IFERROR(VLOOKUP(B69,法术大全!$A:$Y,5,FALSE),"")</f>
        <v/>
      </c>
      <c r="D69" s="241" t="str">
        <f>IFERROR(VLOOKUP(B69,法术大全!$A:$Y,4,FALSE),"")</f>
        <v/>
      </c>
      <c r="E69" s="239">
        <v>68</v>
      </c>
      <c r="F69" s="242" t="str">
        <f t="shared" si="7"/>
        <v/>
      </c>
      <c r="BH69" s="259" t="s">
        <v>514</v>
      </c>
      <c r="BI69" s="259" t="s">
        <v>515</v>
      </c>
      <c r="BJ69" s="259" t="s">
        <v>376</v>
      </c>
      <c r="BK69" s="259">
        <v>0</v>
      </c>
      <c r="BL69" s="251"/>
      <c r="BM69" s="251"/>
      <c r="BN69" s="251"/>
      <c r="BO69" s="251"/>
    </row>
    <row r="70" spans="1:79" ht="16.5" customHeight="1" x14ac:dyDescent="0.25">
      <c r="A70" s="239">
        <v>69</v>
      </c>
      <c r="B70" s="240" t="str">
        <f>IF(法术书!AC21="","",法术书!AC21)</f>
        <v/>
      </c>
      <c r="C70" s="240" t="str">
        <f>IFERROR(VLOOKUP(B70,法术大全!$A:$Y,5,FALSE),"")</f>
        <v/>
      </c>
      <c r="D70" s="241" t="str">
        <f>IFERROR(VLOOKUP(B70,法术大全!$A:$Y,4,FALSE),"")</f>
        <v/>
      </c>
      <c r="E70" s="239">
        <v>69</v>
      </c>
      <c r="F70" s="242" t="str">
        <f t="shared" si="7"/>
        <v/>
      </c>
      <c r="BH70" s="251" t="s">
        <v>516</v>
      </c>
      <c r="BI70" s="251" t="s">
        <v>517</v>
      </c>
      <c r="BJ70" s="251" t="s">
        <v>274</v>
      </c>
      <c r="BK70" s="251">
        <v>0</v>
      </c>
      <c r="BL70" s="251"/>
      <c r="BM70" s="251"/>
      <c r="BN70" s="251"/>
      <c r="BO70" s="251"/>
    </row>
    <row r="71" spans="1:79" ht="16.5" customHeight="1" x14ac:dyDescent="0.25">
      <c r="A71" s="239">
        <v>70</v>
      </c>
      <c r="B71" s="240" t="str">
        <f>IF(法术书!AC22="","",法术书!AC22)</f>
        <v/>
      </c>
      <c r="C71" s="240" t="str">
        <f>IFERROR(VLOOKUP(B71,法术大全!$A:$Y,5,FALSE),"")</f>
        <v/>
      </c>
      <c r="D71" s="241" t="str">
        <f>IFERROR(VLOOKUP(B71,法术大全!$A:$Y,4,FALSE),"")</f>
        <v/>
      </c>
      <c r="E71" s="239">
        <v>70</v>
      </c>
      <c r="F71" s="242" t="str">
        <f t="shared" si="7"/>
        <v/>
      </c>
      <c r="BH71" s="259" t="s">
        <v>454</v>
      </c>
      <c r="BI71" s="259" t="s">
        <v>518</v>
      </c>
      <c r="BJ71" s="259" t="s">
        <v>501</v>
      </c>
      <c r="BK71" s="259">
        <v>0</v>
      </c>
      <c r="BL71" s="251"/>
      <c r="BM71" s="251"/>
      <c r="BN71" s="251"/>
      <c r="BO71" s="251"/>
    </row>
    <row r="72" spans="1:79" ht="16.5" customHeight="1" x14ac:dyDescent="0.25">
      <c r="A72" s="239">
        <v>71</v>
      </c>
      <c r="B72" s="240" t="str">
        <f>IF(法术书!AC23="","",法术书!AC23)</f>
        <v/>
      </c>
      <c r="C72" s="240" t="str">
        <f>IFERROR(VLOOKUP(B72,法术大全!$A:$Y,5,FALSE),"")</f>
        <v/>
      </c>
      <c r="D72" s="241" t="str">
        <f>IFERROR(VLOOKUP(B72,法术大全!$A:$Y,4,FALSE),"")</f>
        <v/>
      </c>
      <c r="E72" s="239">
        <v>71</v>
      </c>
      <c r="F72" s="242" t="str">
        <f t="shared" si="7"/>
        <v/>
      </c>
      <c r="BH72" s="251" t="s">
        <v>519</v>
      </c>
      <c r="BI72" s="251" t="s">
        <v>520</v>
      </c>
      <c r="BJ72" s="251" t="s">
        <v>387</v>
      </c>
      <c r="BK72" s="251">
        <v>7</v>
      </c>
      <c r="BL72" s="251"/>
      <c r="BM72" s="251"/>
      <c r="BN72" s="251"/>
      <c r="BO72" s="251"/>
    </row>
    <row r="73" spans="1:79" ht="16.5" customHeight="1" x14ac:dyDescent="0.25">
      <c r="A73" s="239">
        <v>72</v>
      </c>
      <c r="B73" s="240" t="str">
        <f>IF(法术书!AC24="","",法术书!AC24)</f>
        <v/>
      </c>
      <c r="C73" s="240" t="str">
        <f>IFERROR(VLOOKUP(B73,法术大全!$A:$Y,5,FALSE),"")</f>
        <v/>
      </c>
      <c r="D73" s="241" t="str">
        <f>IFERROR(VLOOKUP(B73,法术大全!$A:$Y,4,FALSE),"")</f>
        <v/>
      </c>
      <c r="E73" s="239">
        <v>72</v>
      </c>
      <c r="F73" s="242" t="str">
        <f t="shared" si="7"/>
        <v/>
      </c>
      <c r="BH73" s="259" t="s">
        <v>521</v>
      </c>
      <c r="BI73" s="259" t="s">
        <v>522</v>
      </c>
      <c r="BJ73" s="259" t="s">
        <v>325</v>
      </c>
      <c r="BK73" s="259">
        <v>10</v>
      </c>
      <c r="BL73" s="251"/>
      <c r="BM73" s="251"/>
      <c r="BN73" s="251"/>
      <c r="BO73" s="251"/>
    </row>
    <row r="74" spans="1:79" ht="16.5" customHeight="1" x14ac:dyDescent="0.25">
      <c r="A74" s="239">
        <v>73</v>
      </c>
      <c r="B74" s="240" t="str">
        <f>IF(法术书!AC25="","",法术书!AC25)</f>
        <v/>
      </c>
      <c r="C74" s="240" t="str">
        <f>IFERROR(VLOOKUP(B74,法术大全!$A:$Y,5,FALSE),"")</f>
        <v/>
      </c>
      <c r="D74" s="241" t="str">
        <f>IFERROR(VLOOKUP(B74,法术大全!$A:$Y,4,FALSE),"")</f>
        <v/>
      </c>
      <c r="E74" s="239">
        <v>73</v>
      </c>
      <c r="F74" s="242" t="str">
        <f t="shared" si="7"/>
        <v/>
      </c>
      <c r="BH74" s="251" t="s">
        <v>523</v>
      </c>
      <c r="BI74" s="251" t="s">
        <v>524</v>
      </c>
      <c r="BJ74" s="251" t="s">
        <v>223</v>
      </c>
      <c r="BK74" s="251">
        <v>0.5</v>
      </c>
      <c r="BL74" s="251"/>
      <c r="BM74" s="251"/>
      <c r="BN74" s="251"/>
      <c r="BO74" s="251"/>
    </row>
    <row r="75" spans="1:79" ht="16.5" customHeight="1" x14ac:dyDescent="0.25">
      <c r="A75" s="239">
        <v>74</v>
      </c>
      <c r="B75" s="240" t="str">
        <f>IF(法术书!AC26="","",法术书!AC26)</f>
        <v/>
      </c>
      <c r="C75" s="240" t="str">
        <f>IFERROR(VLOOKUP(B75,法术大全!$A:$Y,5,FALSE),"")</f>
        <v/>
      </c>
      <c r="D75" s="241" t="str">
        <f>IFERROR(VLOOKUP(B75,法术大全!$A:$Y,4,FALSE),"")</f>
        <v/>
      </c>
      <c r="E75" s="239">
        <v>74</v>
      </c>
      <c r="F75" s="242" t="str">
        <f t="shared" si="7"/>
        <v/>
      </c>
      <c r="BH75" s="259" t="s">
        <v>525</v>
      </c>
      <c r="BI75" s="259" t="s">
        <v>526</v>
      </c>
      <c r="BJ75" s="259" t="s">
        <v>368</v>
      </c>
      <c r="BK75" s="259">
        <v>1</v>
      </c>
      <c r="BL75" s="251"/>
      <c r="BM75" s="251"/>
      <c r="BN75" s="251"/>
      <c r="BO75" s="251"/>
    </row>
    <row r="76" spans="1:79" ht="16.5" customHeight="1" x14ac:dyDescent="0.25">
      <c r="A76" s="239">
        <v>75</v>
      </c>
      <c r="B76" s="240" t="str">
        <f>IF(法术书!AC27="","",法术书!AC27)</f>
        <v/>
      </c>
      <c r="C76" s="240" t="str">
        <f>IFERROR(VLOOKUP(B76,法术大全!$A:$Y,5,FALSE),"")</f>
        <v/>
      </c>
      <c r="D76" s="241" t="str">
        <f>IFERROR(VLOOKUP(B76,法术大全!$A:$Y,4,FALSE),"")</f>
        <v/>
      </c>
      <c r="E76" s="239">
        <v>75</v>
      </c>
      <c r="F76" s="242" t="str">
        <f t="shared" si="7"/>
        <v/>
      </c>
      <c r="BH76" s="251" t="s">
        <v>527</v>
      </c>
      <c r="BI76" s="251" t="s">
        <v>528</v>
      </c>
      <c r="BJ76" s="251" t="s">
        <v>529</v>
      </c>
      <c r="BK76" s="251">
        <v>29</v>
      </c>
      <c r="BL76" s="251"/>
      <c r="BM76" s="251"/>
      <c r="BN76" s="251"/>
      <c r="BO76" s="251"/>
    </row>
    <row r="77" spans="1:79" ht="16.5" customHeight="1" x14ac:dyDescent="0.25">
      <c r="A77" s="239">
        <v>76</v>
      </c>
      <c r="B77" s="240" t="str">
        <f>IF(法术书!AC28="","",法术书!AC28)</f>
        <v/>
      </c>
      <c r="C77" s="240" t="str">
        <f>IFERROR(VLOOKUP(B77,法术大全!$A:$Y,5,FALSE),"")</f>
        <v/>
      </c>
      <c r="D77" s="241" t="str">
        <f>IFERROR(VLOOKUP(B77,法术大全!$A:$Y,4,FALSE),"")</f>
        <v/>
      </c>
      <c r="E77" s="239">
        <v>76</v>
      </c>
      <c r="F77" s="242" t="str">
        <f t="shared" si="7"/>
        <v/>
      </c>
      <c r="BH77" s="259" t="s">
        <v>530</v>
      </c>
      <c r="BI77" s="259" t="s">
        <v>531</v>
      </c>
      <c r="BJ77" s="259" t="s">
        <v>240</v>
      </c>
      <c r="BK77" s="259">
        <v>1</v>
      </c>
      <c r="BL77" s="251"/>
      <c r="BM77" s="251"/>
      <c r="BN77" s="251"/>
      <c r="BO77" s="251"/>
    </row>
    <row r="78" spans="1:79" ht="16.5" customHeight="1" x14ac:dyDescent="0.25">
      <c r="A78" s="239">
        <v>77</v>
      </c>
      <c r="B78" s="240" t="str">
        <f>IF(法术书!AC29="","",法术书!AC29)</f>
        <v/>
      </c>
      <c r="C78" s="240" t="str">
        <f>IFERROR(VLOOKUP(B78,法术大全!$A:$Y,5,FALSE),"")</f>
        <v/>
      </c>
      <c r="D78" s="241" t="str">
        <f>IFERROR(VLOOKUP(B78,法术大全!$A:$Y,4,FALSE),"")</f>
        <v/>
      </c>
      <c r="E78" s="239">
        <v>77</v>
      </c>
      <c r="F78" s="242" t="str">
        <f t="shared" si="7"/>
        <v/>
      </c>
      <c r="BH78" s="251" t="s">
        <v>532</v>
      </c>
      <c r="BI78" s="251" t="s">
        <v>533</v>
      </c>
      <c r="BJ78" s="251" t="s">
        <v>534</v>
      </c>
      <c r="BK78" s="251">
        <v>35</v>
      </c>
      <c r="BL78" s="251"/>
      <c r="BM78" s="251"/>
      <c r="BN78" s="251"/>
      <c r="BO78" s="251"/>
    </row>
    <row r="79" spans="1:79" ht="16.5" customHeight="1" x14ac:dyDescent="0.25">
      <c r="A79" s="239">
        <v>78</v>
      </c>
      <c r="B79" s="240" t="str">
        <f>IF(法术书!AC30="","",法术书!AC30)</f>
        <v/>
      </c>
      <c r="C79" s="240" t="str">
        <f>IFERROR(VLOOKUP(B79,法术大全!$A:$Y,5,FALSE),"")</f>
        <v/>
      </c>
      <c r="D79" s="241" t="str">
        <f>IFERROR(VLOOKUP(B79,法术大全!$A:$Y,4,FALSE),"")</f>
        <v/>
      </c>
      <c r="E79" s="239">
        <v>78</v>
      </c>
      <c r="F79" s="242" t="str">
        <f t="shared" si="7"/>
        <v/>
      </c>
      <c r="BH79" s="259" t="s">
        <v>282</v>
      </c>
      <c r="BI79" s="259" t="s">
        <v>535</v>
      </c>
      <c r="BJ79" s="259" t="s">
        <v>368</v>
      </c>
      <c r="BK79" s="259">
        <v>2</v>
      </c>
      <c r="BL79" s="251"/>
      <c r="BM79" s="251"/>
      <c r="BN79" s="251"/>
      <c r="BO79" s="251"/>
    </row>
    <row r="80" spans="1:79" ht="16.5" customHeight="1" x14ac:dyDescent="0.25">
      <c r="A80" s="239">
        <v>79</v>
      </c>
      <c r="B80" s="240" t="str">
        <f>IF(法术书!AC31="","",法术书!AC31)</f>
        <v/>
      </c>
      <c r="C80" s="240" t="str">
        <f>IFERROR(VLOOKUP(B80,法术大全!$A:$Y,5,FALSE),"")</f>
        <v/>
      </c>
      <c r="D80" s="241" t="str">
        <f>IFERROR(VLOOKUP(B80,法术大全!$A:$Y,4,FALSE),"")</f>
        <v/>
      </c>
      <c r="E80" s="239">
        <v>79</v>
      </c>
      <c r="F80" s="242" t="str">
        <f t="shared" si="7"/>
        <v/>
      </c>
      <c r="BH80" s="251" t="s">
        <v>536</v>
      </c>
      <c r="BI80" s="251" t="s">
        <v>537</v>
      </c>
      <c r="BJ80" s="251" t="s">
        <v>240</v>
      </c>
      <c r="BK80" s="251">
        <v>4</v>
      </c>
      <c r="BL80" s="251"/>
      <c r="BM80" s="251"/>
      <c r="BN80" s="251"/>
      <c r="BO80" s="251"/>
    </row>
    <row r="81" spans="1:67" ht="16.5" customHeight="1" x14ac:dyDescent="0.25">
      <c r="A81" s="239">
        <v>80</v>
      </c>
      <c r="B81" s="240" t="str">
        <f>IF(法术书!AC32="","",法术书!AC32)</f>
        <v/>
      </c>
      <c r="C81" s="240" t="str">
        <f>IFERROR(VLOOKUP(B81,法术大全!$A:$Y,5,FALSE),"")</f>
        <v/>
      </c>
      <c r="D81" s="241" t="str">
        <f>IFERROR(VLOOKUP(B81,法术大全!$A:$Y,4,FALSE),"")</f>
        <v/>
      </c>
      <c r="E81" s="239">
        <v>80</v>
      </c>
      <c r="F81" s="242" t="str">
        <f t="shared" si="7"/>
        <v/>
      </c>
      <c r="BH81" s="259" t="s">
        <v>538</v>
      </c>
      <c r="BI81" s="259" t="s">
        <v>539</v>
      </c>
      <c r="BJ81" s="259" t="s">
        <v>240</v>
      </c>
      <c r="BK81" s="259">
        <v>5</v>
      </c>
      <c r="BL81" s="251"/>
      <c r="BM81" s="251"/>
      <c r="BN81" s="251"/>
      <c r="BO81" s="251"/>
    </row>
    <row r="82" spans="1:67" ht="16.5" customHeight="1" x14ac:dyDescent="0.25">
      <c r="A82" s="239">
        <v>81</v>
      </c>
      <c r="B82" s="240" t="str">
        <f>IF(法术书!AC33="","",法术书!AC33)</f>
        <v/>
      </c>
      <c r="C82" s="240" t="str">
        <f>IFERROR(VLOOKUP(B82,法术大全!$A:$Y,5,FALSE),"")</f>
        <v/>
      </c>
      <c r="D82" s="241" t="str">
        <f>IFERROR(VLOOKUP(B82,法术大全!$A:$Y,4,FALSE),"")</f>
        <v/>
      </c>
      <c r="E82" s="239">
        <v>81</v>
      </c>
      <c r="F82" s="242" t="str">
        <f t="shared" si="7"/>
        <v/>
      </c>
      <c r="BH82" s="251" t="s">
        <v>540</v>
      </c>
      <c r="BI82" s="251" t="s">
        <v>541</v>
      </c>
      <c r="BJ82" s="251" t="s">
        <v>403</v>
      </c>
      <c r="BK82" s="251">
        <v>0.5</v>
      </c>
      <c r="BL82" s="251"/>
      <c r="BM82" s="251"/>
      <c r="BN82" s="251"/>
      <c r="BO82" s="251"/>
    </row>
    <row r="83" spans="1:67" ht="16.5" customHeight="1" x14ac:dyDescent="0.25">
      <c r="A83" s="239">
        <v>82</v>
      </c>
      <c r="B83" s="240" t="str">
        <f>IF(法术书!AC34="","",法术书!AC34)</f>
        <v/>
      </c>
      <c r="C83" s="240" t="str">
        <f>IFERROR(VLOOKUP(B83,法术大全!$A:$Y,5,FALSE),"")</f>
        <v/>
      </c>
      <c r="D83" s="241" t="str">
        <f>IFERROR(VLOOKUP(B83,法术大全!$A:$Y,4,FALSE),"")</f>
        <v/>
      </c>
      <c r="E83" s="239">
        <v>82</v>
      </c>
      <c r="F83" s="242" t="str">
        <f t="shared" si="7"/>
        <v/>
      </c>
      <c r="BH83" s="259" t="s">
        <v>542</v>
      </c>
      <c r="BI83" s="259" t="s">
        <v>543</v>
      </c>
      <c r="BJ83" s="259" t="s">
        <v>466</v>
      </c>
      <c r="BK83" s="259">
        <v>22</v>
      </c>
      <c r="BL83" s="251"/>
      <c r="BM83" s="251"/>
      <c r="BN83" s="251"/>
      <c r="BO83" s="251"/>
    </row>
    <row r="84" spans="1:67" ht="16.5" customHeight="1" x14ac:dyDescent="0.25">
      <c r="A84" s="239">
        <v>83</v>
      </c>
      <c r="B84" s="240" t="str">
        <f>IF(法术书!AC35="","",法术书!AC35)</f>
        <v/>
      </c>
      <c r="C84" s="240" t="str">
        <f>IFERROR(VLOOKUP(B84,法术大全!$A:$Y,5,FALSE),"")</f>
        <v/>
      </c>
      <c r="D84" s="241" t="str">
        <f>IFERROR(VLOOKUP(B84,法术大全!$A:$Y,4,FALSE),"")</f>
        <v/>
      </c>
      <c r="E84" s="239">
        <v>83</v>
      </c>
      <c r="F84" s="242" t="str">
        <f t="shared" si="7"/>
        <v/>
      </c>
      <c r="BH84" s="251" t="s">
        <v>544</v>
      </c>
      <c r="BI84" s="251" t="s">
        <v>545</v>
      </c>
      <c r="BJ84" s="251" t="s">
        <v>325</v>
      </c>
      <c r="BK84" s="251">
        <v>5</v>
      </c>
      <c r="BL84" s="251"/>
      <c r="BM84" s="251"/>
      <c r="BN84" s="251"/>
      <c r="BO84" s="251"/>
    </row>
    <row r="85" spans="1:67" ht="16.5" customHeight="1" x14ac:dyDescent="0.25">
      <c r="A85" s="239">
        <v>84</v>
      </c>
      <c r="B85" s="240" t="str">
        <f>IF(法术书!AC36="","",法术书!AC36)</f>
        <v/>
      </c>
      <c r="C85" s="240" t="str">
        <f>IFERROR(VLOOKUP(B85,法术大全!$A:$Y,5,FALSE),"")</f>
        <v/>
      </c>
      <c r="D85" s="241" t="str">
        <f>IFERROR(VLOOKUP(B85,法术大全!$A:$Y,4,FALSE),"")</f>
        <v/>
      </c>
      <c r="E85" s="239">
        <v>84</v>
      </c>
      <c r="F85" s="242" t="str">
        <f t="shared" si="7"/>
        <v/>
      </c>
      <c r="BH85" s="259" t="s">
        <v>546</v>
      </c>
      <c r="BI85" s="259" t="s">
        <v>547</v>
      </c>
      <c r="BJ85" s="259" t="s">
        <v>387</v>
      </c>
      <c r="BK85" s="259">
        <v>0</v>
      </c>
      <c r="BL85" s="251"/>
      <c r="BM85" s="251"/>
      <c r="BN85" s="251"/>
      <c r="BO85" s="251"/>
    </row>
    <row r="86" spans="1:67" ht="16.5" customHeight="1" x14ac:dyDescent="0.25">
      <c r="A86" s="239">
        <v>85</v>
      </c>
      <c r="B86" s="240" t="str">
        <f>IF(法术书!AC37="","",法术书!AC37)</f>
        <v/>
      </c>
      <c r="C86" s="240" t="str">
        <f>IFERROR(VLOOKUP(B86,法术大全!$A:$Y,5,FALSE),"")</f>
        <v/>
      </c>
      <c r="D86" s="241" t="str">
        <f>IFERROR(VLOOKUP(B86,法术大全!$A:$Y,4,FALSE),"")</f>
        <v/>
      </c>
      <c r="E86" s="239">
        <v>85</v>
      </c>
      <c r="F86" s="242" t="str">
        <f t="shared" si="7"/>
        <v/>
      </c>
      <c r="BH86" s="251" t="s">
        <v>548</v>
      </c>
      <c r="BI86" s="251" t="s">
        <v>549</v>
      </c>
      <c r="BJ86" s="251" t="s">
        <v>290</v>
      </c>
      <c r="BK86" s="251">
        <v>0</v>
      </c>
      <c r="BL86" s="251"/>
      <c r="BM86" s="251"/>
      <c r="BN86" s="251"/>
      <c r="BO86" s="251"/>
    </row>
    <row r="87" spans="1:67" ht="16.5" customHeight="1" x14ac:dyDescent="0.25">
      <c r="A87" s="239">
        <v>86</v>
      </c>
      <c r="B87" s="240" t="str">
        <f>IF(法术书!AC38="","",法术书!AC38)</f>
        <v/>
      </c>
      <c r="C87" s="240" t="str">
        <f>IFERROR(VLOOKUP(B87,法术大全!$A:$Y,5,FALSE),"")</f>
        <v/>
      </c>
      <c r="D87" s="241" t="str">
        <f>IFERROR(VLOOKUP(B87,法术大全!$A:$Y,4,FALSE),"")</f>
        <v/>
      </c>
      <c r="E87" s="239">
        <v>86</v>
      </c>
      <c r="F87" s="242" t="str">
        <f t="shared" si="7"/>
        <v/>
      </c>
      <c r="BH87" s="259" t="s">
        <v>550</v>
      </c>
      <c r="BI87" s="259" t="s">
        <v>551</v>
      </c>
      <c r="BJ87" s="259" t="s">
        <v>223</v>
      </c>
      <c r="BK87" s="259">
        <v>0</v>
      </c>
      <c r="BL87" s="251"/>
      <c r="BM87" s="251"/>
      <c r="BN87" s="251"/>
      <c r="BO87" s="251"/>
    </row>
    <row r="88" spans="1:67" ht="16.5" customHeight="1" x14ac:dyDescent="0.25">
      <c r="A88" s="239">
        <v>87</v>
      </c>
      <c r="B88" s="240" t="str">
        <f>IF(法术书!AC39="","",法术书!AC39)</f>
        <v/>
      </c>
      <c r="C88" s="240" t="str">
        <f>IFERROR(VLOOKUP(B88,法术大全!$A:$Y,5,FALSE),"")</f>
        <v/>
      </c>
      <c r="D88" s="241" t="str">
        <f>IFERROR(VLOOKUP(B88,法术大全!$A:$Y,4,FALSE),"")</f>
        <v/>
      </c>
      <c r="E88" s="239">
        <v>87</v>
      </c>
      <c r="F88" s="242" t="str">
        <f t="shared" si="7"/>
        <v/>
      </c>
      <c r="BH88" s="251" t="s">
        <v>552</v>
      </c>
      <c r="BI88" s="251" t="s">
        <v>553</v>
      </c>
      <c r="BJ88" s="251" t="s">
        <v>240</v>
      </c>
      <c r="BK88" s="251">
        <v>5</v>
      </c>
      <c r="BL88" s="251"/>
      <c r="BM88" s="251"/>
      <c r="BN88" s="251"/>
      <c r="BO88" s="251"/>
    </row>
    <row r="89" spans="1:67" ht="16.5" customHeight="1" x14ac:dyDescent="0.25">
      <c r="A89" s="239">
        <v>88</v>
      </c>
      <c r="B89" s="240" t="str">
        <f>IF(法术书!AC40="","",法术书!AC40)</f>
        <v/>
      </c>
      <c r="C89" s="240" t="str">
        <f>IFERROR(VLOOKUP(B89,法术大全!$A:$Y,5,FALSE),"")</f>
        <v/>
      </c>
      <c r="D89" s="241" t="str">
        <f>IFERROR(VLOOKUP(B89,法术大全!$A:$Y,4,FALSE),"")</f>
        <v/>
      </c>
      <c r="E89" s="239">
        <v>88</v>
      </c>
      <c r="F89" s="242" t="str">
        <f t="shared" si="7"/>
        <v/>
      </c>
      <c r="BH89" s="259" t="s">
        <v>554</v>
      </c>
      <c r="BI89" s="259" t="s">
        <v>555</v>
      </c>
      <c r="BJ89" s="259" t="s">
        <v>556</v>
      </c>
      <c r="BK89" s="259">
        <v>1</v>
      </c>
      <c r="BL89" s="251"/>
      <c r="BM89" s="251"/>
      <c r="BN89" s="251"/>
      <c r="BO89" s="251"/>
    </row>
    <row r="90" spans="1:67" ht="16.5" customHeight="1" x14ac:dyDescent="0.25">
      <c r="A90" s="239">
        <v>89</v>
      </c>
      <c r="B90" s="240" t="str">
        <f>IF(法术书!AC41="","",法术书!AC41)</f>
        <v/>
      </c>
      <c r="C90" s="240" t="str">
        <f>IFERROR(VLOOKUP(B90,法术大全!$A:$Y,5,FALSE),"")</f>
        <v/>
      </c>
      <c r="D90" s="241" t="str">
        <f>IFERROR(VLOOKUP(B90,法术大全!$A:$Y,4,FALSE),"")</f>
        <v/>
      </c>
      <c r="E90" s="239">
        <v>89</v>
      </c>
      <c r="F90" s="242" t="str">
        <f t="shared" si="7"/>
        <v/>
      </c>
      <c r="BH90" s="251" t="s">
        <v>557</v>
      </c>
      <c r="BI90" s="251" t="s">
        <v>558</v>
      </c>
      <c r="BJ90" s="251" t="s">
        <v>376</v>
      </c>
      <c r="BK90" s="251">
        <v>0</v>
      </c>
      <c r="BL90" s="251"/>
      <c r="BM90" s="251"/>
      <c r="BN90" s="251"/>
      <c r="BO90" s="251"/>
    </row>
    <row r="91" spans="1:67" ht="16.5" customHeight="1" x14ac:dyDescent="0.25">
      <c r="A91" s="239">
        <v>90</v>
      </c>
      <c r="B91" s="240" t="str">
        <f>IF(法术书!AC42="","",法术书!AC42)</f>
        <v/>
      </c>
      <c r="C91" s="240" t="str">
        <f>IFERROR(VLOOKUP(B91,法术大全!$A:$Y,5,FALSE),"")</f>
        <v/>
      </c>
      <c r="D91" s="241" t="str">
        <f>IFERROR(VLOOKUP(B91,法术大全!$A:$Y,4,FALSE),"")</f>
        <v/>
      </c>
      <c r="E91" s="239">
        <v>90</v>
      </c>
      <c r="F91" s="242" t="str">
        <f t="shared" si="7"/>
        <v/>
      </c>
      <c r="BH91" s="259" t="s">
        <v>559</v>
      </c>
      <c r="BI91" s="259" t="s">
        <v>560</v>
      </c>
      <c r="BJ91" s="259" t="s">
        <v>325</v>
      </c>
      <c r="BK91" s="259">
        <v>20</v>
      </c>
      <c r="BL91" s="251"/>
      <c r="BM91" s="251"/>
      <c r="BN91" s="251"/>
      <c r="BO91" s="251"/>
    </row>
    <row r="92" spans="1:67" ht="16.5" customHeight="1" x14ac:dyDescent="0.25">
      <c r="A92" s="239">
        <v>91</v>
      </c>
      <c r="B92" s="240" t="str">
        <f>IF(法术书!AC43="","",法术书!AC43)</f>
        <v/>
      </c>
      <c r="C92" s="240" t="str">
        <f>IFERROR(VLOOKUP(B92,法术大全!$A:$Y,5,FALSE),"")</f>
        <v/>
      </c>
      <c r="D92" s="241" t="str">
        <f>IFERROR(VLOOKUP(B92,法术大全!$A:$Y,4,FALSE),"")</f>
        <v/>
      </c>
      <c r="E92" s="239">
        <v>91</v>
      </c>
      <c r="F92" s="242" t="str">
        <f t="shared" si="7"/>
        <v/>
      </c>
      <c r="BH92" s="251" t="s">
        <v>561</v>
      </c>
      <c r="BI92" s="251" t="s">
        <v>562</v>
      </c>
      <c r="BJ92" s="251" t="s">
        <v>368</v>
      </c>
      <c r="BK92" s="251">
        <v>1</v>
      </c>
      <c r="BM92" s="251"/>
      <c r="BN92" s="251"/>
      <c r="BO92" s="251"/>
    </row>
    <row r="93" spans="1:67" ht="16.5" customHeight="1" x14ac:dyDescent="0.25">
      <c r="A93" s="239">
        <v>92</v>
      </c>
      <c r="B93" s="240" t="str">
        <f>IF(法术书!AC44="","",法术书!AC44)</f>
        <v/>
      </c>
      <c r="C93" s="240" t="str">
        <f>IFERROR(VLOOKUP(B93,法术大全!$A:$Y,5,FALSE),"")</f>
        <v/>
      </c>
      <c r="D93" s="241" t="str">
        <f>IFERROR(VLOOKUP(B93,法术大全!$A:$Y,4,FALSE),"")</f>
        <v/>
      </c>
      <c r="E93" s="239">
        <v>92</v>
      </c>
      <c r="F93" s="242" t="str">
        <f t="shared" si="7"/>
        <v/>
      </c>
      <c r="BH93" s="259" t="s">
        <v>563</v>
      </c>
      <c r="BI93" s="259" t="s">
        <v>564</v>
      </c>
      <c r="BJ93" s="259" t="s">
        <v>403</v>
      </c>
      <c r="BK93" s="259">
        <v>1</v>
      </c>
      <c r="BM93" s="251"/>
      <c r="BN93" s="251"/>
      <c r="BO93" s="251"/>
    </row>
    <row r="94" spans="1:67" ht="16.5" customHeight="1" x14ac:dyDescent="0.25">
      <c r="A94" s="239">
        <v>93</v>
      </c>
      <c r="B94" s="240" t="str">
        <f>IF(法术书!AC45="","",法术书!AC45)</f>
        <v/>
      </c>
      <c r="C94" s="240" t="str">
        <f>IFERROR(VLOOKUP(B94,法术大全!$A:$Y,5,FALSE),"")</f>
        <v/>
      </c>
      <c r="D94" s="241" t="str">
        <f>IFERROR(VLOOKUP(B94,法术大全!$A:$Y,4,FALSE),"")</f>
        <v/>
      </c>
      <c r="E94" s="239">
        <v>93</v>
      </c>
      <c r="F94" s="242" t="str">
        <f t="shared" si="7"/>
        <v/>
      </c>
      <c r="BH94" s="251" t="s">
        <v>565</v>
      </c>
      <c r="BI94" s="251" t="s">
        <v>566</v>
      </c>
      <c r="BJ94" s="251" t="s">
        <v>240</v>
      </c>
      <c r="BK94" s="251">
        <v>0</v>
      </c>
      <c r="BM94" s="251"/>
      <c r="BN94" s="251"/>
      <c r="BO94" s="251"/>
    </row>
    <row r="95" spans="1:67" ht="16.5" customHeight="1" x14ac:dyDescent="0.25">
      <c r="A95" s="239">
        <v>94</v>
      </c>
      <c r="B95" s="240" t="str">
        <f>IF(法术书!AC46="","",法术书!AC46)</f>
        <v/>
      </c>
      <c r="C95" s="240" t="str">
        <f>IFERROR(VLOOKUP(B95,法术大全!$A:$Y,5,FALSE),"")</f>
        <v/>
      </c>
      <c r="D95" s="241" t="str">
        <f>IFERROR(VLOOKUP(B95,法术大全!$A:$Y,4,FALSE),"")</f>
        <v/>
      </c>
      <c r="E95" s="239">
        <v>94</v>
      </c>
      <c r="F95" s="242" t="str">
        <f t="shared" si="7"/>
        <v/>
      </c>
      <c r="BH95" s="259" t="s">
        <v>567</v>
      </c>
      <c r="BI95" s="259" t="s">
        <v>568</v>
      </c>
      <c r="BJ95" s="259" t="s">
        <v>513</v>
      </c>
      <c r="BK95" s="259">
        <v>5</v>
      </c>
      <c r="BM95" s="251"/>
      <c r="BN95" s="251"/>
      <c r="BO95" s="251"/>
    </row>
    <row r="96" spans="1:67" ht="16.5" customHeight="1" x14ac:dyDescent="0.25">
      <c r="A96" s="239">
        <v>95</v>
      </c>
      <c r="B96" s="240" t="str">
        <f>IF(法术书!AC47="","",法术书!AC47)</f>
        <v/>
      </c>
      <c r="C96" s="240" t="str">
        <f>IFERROR(VLOOKUP(B96,法术大全!$A:$Y,5,FALSE),"")</f>
        <v/>
      </c>
      <c r="D96" s="241" t="str">
        <f>IFERROR(VLOOKUP(B96,法术大全!$A:$Y,4,FALSE),"")</f>
        <v/>
      </c>
      <c r="E96" s="239">
        <v>95</v>
      </c>
      <c r="F96" s="242" t="str">
        <f t="shared" si="7"/>
        <v/>
      </c>
      <c r="BH96" s="256" t="s">
        <v>390</v>
      </c>
      <c r="BM96" s="251"/>
      <c r="BN96" s="251"/>
      <c r="BO96" s="251"/>
    </row>
    <row r="97" spans="1:67" ht="16.5" customHeight="1" x14ac:dyDescent="0.25">
      <c r="A97" s="239">
        <v>96</v>
      </c>
      <c r="B97" s="240" t="str">
        <f>IF(法术书!AC48="","",法术书!AC48)</f>
        <v/>
      </c>
      <c r="C97" s="240" t="str">
        <f>IFERROR(VLOOKUP(B97,法术大全!$A:$Y,5,FALSE),"")</f>
        <v/>
      </c>
      <c r="D97" s="241" t="str">
        <f>IFERROR(VLOOKUP(B97,法术大全!$A:$Y,4,FALSE),"")</f>
        <v/>
      </c>
      <c r="E97" s="239">
        <v>96</v>
      </c>
      <c r="F97" s="242" t="str">
        <f t="shared" si="7"/>
        <v/>
      </c>
      <c r="BH97" s="251" t="s">
        <v>449</v>
      </c>
      <c r="BM97" s="251"/>
      <c r="BN97" s="251"/>
      <c r="BO97" s="251"/>
    </row>
    <row r="98" spans="1:67" ht="16.5" customHeight="1" x14ac:dyDescent="0.25">
      <c r="A98" s="239">
        <v>97</v>
      </c>
      <c r="B98" s="240" t="str">
        <f>IF(法术书!AC49="","",法术书!AC49)</f>
        <v/>
      </c>
      <c r="C98" s="240" t="str">
        <f>IFERROR(VLOOKUP(B98,法术大全!$A:$Y,5,FALSE),"")</f>
        <v/>
      </c>
      <c r="D98" s="241" t="str">
        <f>IFERROR(VLOOKUP(B98,法术大全!$A:$Y,4,FALSE),"")</f>
        <v/>
      </c>
      <c r="E98" s="239">
        <v>97</v>
      </c>
      <c r="F98" s="242" t="str">
        <f t="shared" si="7"/>
        <v/>
      </c>
      <c r="BH98" s="256" t="s">
        <v>464</v>
      </c>
      <c r="BM98" s="251"/>
      <c r="BN98" s="251"/>
      <c r="BO98" s="251"/>
    </row>
    <row r="99" spans="1:67" ht="16.5" customHeight="1" x14ac:dyDescent="0.25">
      <c r="A99" s="239">
        <v>98</v>
      </c>
      <c r="B99" s="240" t="str">
        <f>IF(法术书!AC50="","",法术书!AC50)</f>
        <v/>
      </c>
      <c r="C99" s="240" t="str">
        <f>IFERROR(VLOOKUP(B99,法术大全!$A:$Y,5,FALSE),"")</f>
        <v/>
      </c>
      <c r="D99" s="241" t="str">
        <f>IFERROR(VLOOKUP(B99,法术大全!$A:$Y,4,FALSE),"")</f>
        <v/>
      </c>
      <c r="E99" s="239">
        <v>98</v>
      </c>
      <c r="F99" s="242" t="str">
        <f t="shared" si="7"/>
        <v/>
      </c>
      <c r="BH99" s="251" t="s">
        <v>467</v>
      </c>
      <c r="BM99" s="251"/>
      <c r="BN99" s="251"/>
      <c r="BO99" s="251"/>
    </row>
    <row r="100" spans="1:67" ht="16.5" customHeight="1" x14ac:dyDescent="0.25">
      <c r="A100" s="239">
        <v>99</v>
      </c>
      <c r="B100" s="240" t="str">
        <f>IF(法术书!AC51="","",法术书!AC51)</f>
        <v/>
      </c>
      <c r="C100" s="240" t="str">
        <f>IFERROR(VLOOKUP(B100,法术大全!$A:$Y,5,FALSE),"")</f>
        <v/>
      </c>
      <c r="D100" s="241" t="str">
        <f>IFERROR(VLOOKUP(B100,法术大全!$A:$Y,4,FALSE),"")</f>
        <v/>
      </c>
      <c r="E100" s="239">
        <v>99</v>
      </c>
      <c r="F100" s="242" t="str">
        <f t="shared" si="7"/>
        <v/>
      </c>
      <c r="BH100" s="251" t="s">
        <v>527</v>
      </c>
      <c r="BM100" s="251"/>
      <c r="BN100" s="251"/>
      <c r="BO100" s="251"/>
    </row>
    <row r="101" spans="1:67" ht="16.5" customHeight="1" x14ac:dyDescent="0.25">
      <c r="A101" s="239">
        <v>100</v>
      </c>
      <c r="B101" s="240" t="str">
        <f>IF(法术书!AC52="","",法术书!AC52)</f>
        <v/>
      </c>
      <c r="C101" s="240" t="str">
        <f>IFERROR(VLOOKUP(B101,法术大全!$A:$Y,5,FALSE),"")</f>
        <v/>
      </c>
      <c r="D101" s="241" t="str">
        <f>IFERROR(VLOOKUP(B101,法术大全!$A:$Y,4,FALSE),"")</f>
        <v/>
      </c>
      <c r="E101" s="239">
        <v>100</v>
      </c>
      <c r="F101" s="242" t="str">
        <f t="shared" si="7"/>
        <v/>
      </c>
      <c r="BH101" s="259" t="s">
        <v>542</v>
      </c>
      <c r="BM101" s="251"/>
      <c r="BN101" s="251"/>
      <c r="BO101" s="251"/>
    </row>
    <row r="102" spans="1:67" ht="16.5" customHeight="1" x14ac:dyDescent="0.25">
      <c r="A102" s="239">
        <v>101</v>
      </c>
      <c r="B102" s="240" t="str">
        <f>IF(法术书!AH3="","",法术书!AH3)</f>
        <v/>
      </c>
      <c r="C102" s="240" t="str">
        <f>IFERROR(VLOOKUP(B102,法术大全!$A:$Y,5,FALSE),"")</f>
        <v/>
      </c>
      <c r="D102" s="241" t="str">
        <f>IFERROR(VLOOKUP(B102,法术大全!$A:$Y,4,FALSE),"")</f>
        <v/>
      </c>
      <c r="E102" s="239">
        <v>101</v>
      </c>
      <c r="F102" s="242" t="str">
        <f t="shared" ref="F102:F133" si="8">B102</f>
        <v/>
      </c>
      <c r="BM102" s="251"/>
      <c r="BN102" s="251"/>
      <c r="BO102" s="251"/>
    </row>
    <row r="103" spans="1:67" ht="16.5" customHeight="1" x14ac:dyDescent="0.25">
      <c r="A103" s="239">
        <v>102</v>
      </c>
      <c r="B103" s="240" t="str">
        <f>IF(法术书!AH4="","",法术书!AH4)</f>
        <v/>
      </c>
      <c r="C103" s="240" t="str">
        <f>IFERROR(VLOOKUP(B103,法术大全!$A:$Y,5,FALSE),"")</f>
        <v/>
      </c>
      <c r="D103" s="241" t="str">
        <f>IFERROR(VLOOKUP(B103,法术大全!$A:$Y,4,FALSE),"")</f>
        <v/>
      </c>
      <c r="E103" s="239">
        <v>102</v>
      </c>
      <c r="F103" s="242" t="str">
        <f t="shared" si="8"/>
        <v/>
      </c>
      <c r="BM103" s="251"/>
      <c r="BN103" s="251"/>
      <c r="BO103" s="251"/>
    </row>
    <row r="104" spans="1:67" ht="16.5" customHeight="1" x14ac:dyDescent="0.25">
      <c r="A104" s="239">
        <v>103</v>
      </c>
      <c r="B104" s="240" t="str">
        <f>IF(法术书!AH5="","",法术书!AH5)</f>
        <v/>
      </c>
      <c r="C104" s="240" t="str">
        <f>IFERROR(VLOOKUP(B104,法术大全!$A:$Y,5,FALSE),"")</f>
        <v/>
      </c>
      <c r="D104" s="241" t="str">
        <f>IFERROR(VLOOKUP(B104,法术大全!$A:$Y,4,FALSE),"")</f>
        <v/>
      </c>
      <c r="E104" s="239">
        <v>103</v>
      </c>
      <c r="F104" s="242" t="str">
        <f t="shared" si="8"/>
        <v/>
      </c>
      <c r="BM104" s="251"/>
      <c r="BN104" s="251"/>
      <c r="BO104" s="251"/>
    </row>
    <row r="105" spans="1:67" ht="16.5" customHeight="1" x14ac:dyDescent="0.25">
      <c r="A105" s="239">
        <v>104</v>
      </c>
      <c r="B105" s="240" t="str">
        <f>IF(法术书!AH6="","",法术书!AH6)</f>
        <v/>
      </c>
      <c r="C105" s="240" t="str">
        <f>IFERROR(VLOOKUP(B105,法术大全!$A:$Y,5,FALSE),"")</f>
        <v/>
      </c>
      <c r="D105" s="241" t="str">
        <f>IFERROR(VLOOKUP(B105,法术大全!$A:$Y,4,FALSE),"")</f>
        <v/>
      </c>
      <c r="E105" s="239">
        <v>104</v>
      </c>
      <c r="F105" s="242" t="str">
        <f t="shared" si="8"/>
        <v/>
      </c>
      <c r="BM105" s="251"/>
      <c r="BN105" s="251"/>
      <c r="BO105" s="251"/>
    </row>
    <row r="106" spans="1:67" ht="16.5" customHeight="1" x14ac:dyDescent="0.25">
      <c r="A106" s="239">
        <v>105</v>
      </c>
      <c r="B106" s="240" t="str">
        <f>IF(法术书!AH7="","",法术书!AH7)</f>
        <v/>
      </c>
      <c r="C106" s="240" t="str">
        <f>IFERROR(VLOOKUP(B106,法术大全!$A:$Y,5,FALSE),"")</f>
        <v/>
      </c>
      <c r="D106" s="241" t="str">
        <f>IFERROR(VLOOKUP(B106,法术大全!$A:$Y,4,FALSE),"")</f>
        <v/>
      </c>
      <c r="E106" s="239">
        <v>105</v>
      </c>
      <c r="F106" s="242" t="str">
        <f t="shared" si="8"/>
        <v/>
      </c>
      <c r="BM106" s="251"/>
      <c r="BN106" s="251"/>
      <c r="BO106" s="251"/>
    </row>
    <row r="107" spans="1:67" ht="16.5" customHeight="1" x14ac:dyDescent="0.25">
      <c r="A107" s="239">
        <v>106</v>
      </c>
      <c r="B107" s="240" t="str">
        <f>IF(法术书!AH8="","",法术书!AH8)</f>
        <v/>
      </c>
      <c r="C107" s="240" t="str">
        <f>IFERROR(VLOOKUP(B107,法术大全!$A:$Y,5,FALSE),"")</f>
        <v/>
      </c>
      <c r="D107" s="241" t="str">
        <f>IFERROR(VLOOKUP(B107,法术大全!$A:$Y,4,FALSE),"")</f>
        <v/>
      </c>
      <c r="E107" s="239">
        <v>106</v>
      </c>
      <c r="F107" s="242" t="str">
        <f t="shared" si="8"/>
        <v/>
      </c>
      <c r="BM107" s="251"/>
      <c r="BN107" s="251"/>
      <c r="BO107" s="251"/>
    </row>
    <row r="108" spans="1:67" ht="16.5" customHeight="1" x14ac:dyDescent="0.25">
      <c r="A108" s="239">
        <v>107</v>
      </c>
      <c r="B108" s="240" t="str">
        <f>IF(法术书!AH9="","",法术书!AH9)</f>
        <v/>
      </c>
      <c r="C108" s="240" t="str">
        <f>IFERROR(VLOOKUP(B108,法术大全!$A:$Y,5,FALSE),"")</f>
        <v/>
      </c>
      <c r="D108" s="241" t="str">
        <f>IFERROR(VLOOKUP(B108,法术大全!$A:$Y,4,FALSE),"")</f>
        <v/>
      </c>
      <c r="E108" s="239">
        <v>107</v>
      </c>
      <c r="F108" s="242" t="str">
        <f t="shared" si="8"/>
        <v/>
      </c>
      <c r="BM108" s="251"/>
      <c r="BN108" s="251"/>
      <c r="BO108" s="251"/>
    </row>
    <row r="109" spans="1:67" ht="16.5" customHeight="1" x14ac:dyDescent="0.25">
      <c r="A109" s="239">
        <v>108</v>
      </c>
      <c r="B109" s="240" t="str">
        <f>IF(法术书!AH10="","",法术书!AH10)</f>
        <v/>
      </c>
      <c r="C109" s="240" t="str">
        <f>IFERROR(VLOOKUP(B109,法术大全!$A:$Y,5,FALSE),"")</f>
        <v/>
      </c>
      <c r="D109" s="241" t="str">
        <f>IFERROR(VLOOKUP(B109,法术大全!$A:$Y,4,FALSE),"")</f>
        <v/>
      </c>
      <c r="E109" s="239">
        <v>108</v>
      </c>
      <c r="F109" s="242" t="str">
        <f t="shared" si="8"/>
        <v/>
      </c>
      <c r="BM109" s="251"/>
      <c r="BN109" s="251"/>
      <c r="BO109" s="251"/>
    </row>
    <row r="110" spans="1:67" ht="16.5" customHeight="1" x14ac:dyDescent="0.25">
      <c r="A110" s="239">
        <v>109</v>
      </c>
      <c r="B110" s="240" t="str">
        <f>IF(法术书!AH11="","",法术书!AH11)</f>
        <v/>
      </c>
      <c r="C110" s="240" t="str">
        <f>IFERROR(VLOOKUP(B110,法术大全!$A:$Y,5,FALSE),"")</f>
        <v/>
      </c>
      <c r="D110" s="241" t="str">
        <f>IFERROR(VLOOKUP(B110,法术大全!$A:$Y,4,FALSE),"")</f>
        <v/>
      </c>
      <c r="E110" s="239">
        <v>109</v>
      </c>
      <c r="F110" s="242" t="str">
        <f t="shared" si="8"/>
        <v/>
      </c>
      <c r="BM110" s="251"/>
      <c r="BN110" s="251"/>
      <c r="BO110" s="251"/>
    </row>
    <row r="111" spans="1:67" ht="16.5" customHeight="1" x14ac:dyDescent="0.25">
      <c r="A111" s="239">
        <v>110</v>
      </c>
      <c r="B111" s="240" t="str">
        <f>IF(法术书!AH12="","",法术书!AH12)</f>
        <v/>
      </c>
      <c r="C111" s="240" t="str">
        <f>IFERROR(VLOOKUP(B111,法术大全!$A:$Y,5,FALSE),"")</f>
        <v/>
      </c>
      <c r="D111" s="241" t="str">
        <f>IFERROR(VLOOKUP(B111,法术大全!$A:$Y,4,FALSE),"")</f>
        <v/>
      </c>
      <c r="E111" s="239">
        <v>110</v>
      </c>
      <c r="F111" s="242" t="str">
        <f t="shared" si="8"/>
        <v/>
      </c>
      <c r="BM111" s="251"/>
      <c r="BN111" s="251"/>
      <c r="BO111" s="251"/>
    </row>
    <row r="112" spans="1:67" ht="16.5" customHeight="1" x14ac:dyDescent="0.25">
      <c r="A112" s="239">
        <v>111</v>
      </c>
      <c r="B112" s="240" t="str">
        <f>IF(法术书!AH13="","",法术书!AH13)</f>
        <v/>
      </c>
      <c r="C112" s="240" t="str">
        <f>IFERROR(VLOOKUP(B112,法术大全!$A:$Y,5,FALSE),"")</f>
        <v/>
      </c>
      <c r="D112" s="241" t="str">
        <f>IFERROR(VLOOKUP(B112,法术大全!$A:$Y,4,FALSE),"")</f>
        <v/>
      </c>
      <c r="E112" s="239">
        <v>111</v>
      </c>
      <c r="F112" s="242" t="str">
        <f t="shared" si="8"/>
        <v/>
      </c>
      <c r="BM112" s="251"/>
      <c r="BN112" s="251"/>
      <c r="BO112" s="251"/>
    </row>
    <row r="113" spans="1:67" ht="16.5" customHeight="1" x14ac:dyDescent="0.25">
      <c r="A113" s="239">
        <v>112</v>
      </c>
      <c r="B113" s="240" t="str">
        <f>IF(法术书!AH14="","",法术书!AH14)</f>
        <v/>
      </c>
      <c r="C113" s="240" t="str">
        <f>IFERROR(VLOOKUP(B113,法术大全!$A:$Y,5,FALSE),"")</f>
        <v/>
      </c>
      <c r="D113" s="241" t="str">
        <f>IFERROR(VLOOKUP(B113,法术大全!$A:$Y,4,FALSE),"")</f>
        <v/>
      </c>
      <c r="E113" s="239">
        <v>112</v>
      </c>
      <c r="F113" s="242" t="str">
        <f t="shared" si="8"/>
        <v/>
      </c>
      <c r="BM113" s="251"/>
      <c r="BN113" s="251"/>
      <c r="BO113" s="251"/>
    </row>
    <row r="114" spans="1:67" ht="16.5" customHeight="1" x14ac:dyDescent="0.25">
      <c r="A114" s="239">
        <v>113</v>
      </c>
      <c r="B114" s="240" t="str">
        <f>IF(法术书!AH15="","",法术书!AH15)</f>
        <v/>
      </c>
      <c r="C114" s="240" t="str">
        <f>IFERROR(VLOOKUP(B114,法术大全!$A:$Y,5,FALSE),"")</f>
        <v/>
      </c>
      <c r="D114" s="241" t="str">
        <f>IFERROR(VLOOKUP(B114,法术大全!$A:$Y,4,FALSE),"")</f>
        <v/>
      </c>
      <c r="E114" s="239">
        <v>113</v>
      </c>
      <c r="F114" s="242" t="str">
        <f t="shared" si="8"/>
        <v/>
      </c>
      <c r="BM114" s="251"/>
      <c r="BN114" s="251"/>
      <c r="BO114" s="251"/>
    </row>
    <row r="115" spans="1:67" ht="16.5" customHeight="1" x14ac:dyDescent="0.25">
      <c r="A115" s="239">
        <v>114</v>
      </c>
      <c r="B115" s="240" t="str">
        <f>IF(法术书!AH16="","",法术书!AH16)</f>
        <v/>
      </c>
      <c r="C115" s="240" t="str">
        <f>IFERROR(VLOOKUP(B115,法术大全!$A:$Y,5,FALSE),"")</f>
        <v/>
      </c>
      <c r="D115" s="241" t="str">
        <f>IFERROR(VLOOKUP(B115,法术大全!$A:$Y,4,FALSE),"")</f>
        <v/>
      </c>
      <c r="E115" s="239">
        <v>114</v>
      </c>
      <c r="F115" s="242" t="str">
        <f t="shared" si="8"/>
        <v/>
      </c>
      <c r="BM115" s="251"/>
      <c r="BN115" s="251"/>
      <c r="BO115" s="251"/>
    </row>
    <row r="116" spans="1:67" ht="16.5" customHeight="1" x14ac:dyDescent="0.25">
      <c r="A116" s="239">
        <v>115</v>
      </c>
      <c r="B116" s="240" t="str">
        <f>IF(法术书!AH17="","",法术书!AH17)</f>
        <v/>
      </c>
      <c r="C116" s="240" t="str">
        <f>IFERROR(VLOOKUP(B116,法术大全!$A:$Y,5,FALSE),"")</f>
        <v/>
      </c>
      <c r="D116" s="241" t="str">
        <f>IFERROR(VLOOKUP(B116,法术大全!$A:$Y,4,FALSE),"")</f>
        <v/>
      </c>
      <c r="E116" s="239">
        <v>115</v>
      </c>
      <c r="F116" s="242" t="str">
        <f t="shared" si="8"/>
        <v/>
      </c>
      <c r="BM116" s="251"/>
      <c r="BN116" s="251"/>
      <c r="BO116" s="251"/>
    </row>
    <row r="117" spans="1:67" ht="16.5" customHeight="1" x14ac:dyDescent="0.25">
      <c r="A117" s="239">
        <v>116</v>
      </c>
      <c r="B117" s="240" t="str">
        <f>IF(法术书!AH18="","",法术书!AH18)</f>
        <v/>
      </c>
      <c r="C117" s="240" t="str">
        <f>IFERROR(VLOOKUP(B117,法术大全!$A:$Y,5,FALSE),"")</f>
        <v/>
      </c>
      <c r="D117" s="241" t="str">
        <f>IFERROR(VLOOKUP(B117,法术大全!$A:$Y,4,FALSE),"")</f>
        <v/>
      </c>
      <c r="E117" s="239">
        <v>116</v>
      </c>
      <c r="F117" s="242" t="str">
        <f t="shared" si="8"/>
        <v/>
      </c>
      <c r="BM117" s="251"/>
      <c r="BN117" s="251"/>
      <c r="BO117" s="251"/>
    </row>
    <row r="118" spans="1:67" ht="16.5" customHeight="1" x14ac:dyDescent="0.25">
      <c r="A118" s="239">
        <v>117</v>
      </c>
      <c r="B118" s="240" t="str">
        <f>IF(法术书!AH19="","",法术书!AH19)</f>
        <v/>
      </c>
      <c r="C118" s="240" t="str">
        <f>IFERROR(VLOOKUP(B118,法术大全!$A:$Y,5,FALSE),"")</f>
        <v/>
      </c>
      <c r="D118" s="241" t="str">
        <f>IFERROR(VLOOKUP(B118,法术大全!$A:$Y,4,FALSE),"")</f>
        <v/>
      </c>
      <c r="E118" s="239">
        <v>117</v>
      </c>
      <c r="F118" s="242" t="str">
        <f t="shared" si="8"/>
        <v/>
      </c>
      <c r="BM118" s="251"/>
      <c r="BN118" s="251"/>
      <c r="BO118" s="251"/>
    </row>
    <row r="119" spans="1:67" ht="16.5" customHeight="1" x14ac:dyDescent="0.25">
      <c r="A119" s="239">
        <v>118</v>
      </c>
      <c r="B119" s="240" t="str">
        <f>IF(法术书!AH20="","",法术书!AH20)</f>
        <v/>
      </c>
      <c r="C119" s="240" t="str">
        <f>IFERROR(VLOOKUP(B119,法术大全!$A:$Y,5,FALSE),"")</f>
        <v/>
      </c>
      <c r="D119" s="241" t="str">
        <f>IFERROR(VLOOKUP(B119,法术大全!$A:$Y,4,FALSE),"")</f>
        <v/>
      </c>
      <c r="E119" s="239">
        <v>118</v>
      </c>
      <c r="F119" s="242" t="str">
        <f t="shared" si="8"/>
        <v/>
      </c>
      <c r="BM119" s="251"/>
      <c r="BN119" s="251"/>
      <c r="BO119" s="251"/>
    </row>
    <row r="120" spans="1:67" ht="16.5" customHeight="1" x14ac:dyDescent="0.25">
      <c r="A120" s="239">
        <v>119</v>
      </c>
      <c r="B120" s="240" t="str">
        <f>IF(法术书!AH21="","",法术书!AH21)</f>
        <v/>
      </c>
      <c r="C120" s="240" t="str">
        <f>IFERROR(VLOOKUP(B120,法术大全!$A:$Y,5,FALSE),"")</f>
        <v/>
      </c>
      <c r="D120" s="241" t="str">
        <f>IFERROR(VLOOKUP(B120,法术大全!$A:$Y,4,FALSE),"")</f>
        <v/>
      </c>
      <c r="E120" s="239">
        <v>119</v>
      </c>
      <c r="F120" s="242" t="str">
        <f t="shared" si="8"/>
        <v/>
      </c>
      <c r="BM120" s="251"/>
      <c r="BN120" s="251"/>
      <c r="BO120" s="251"/>
    </row>
    <row r="121" spans="1:67" ht="16.5" customHeight="1" x14ac:dyDescent="0.25">
      <c r="A121" s="239">
        <v>120</v>
      </c>
      <c r="B121" s="240" t="str">
        <f>IF(法术书!AH22="","",法术书!AH22)</f>
        <v/>
      </c>
      <c r="C121" s="240" t="str">
        <f>IFERROR(VLOOKUP(B121,法术大全!$A:$Y,5,FALSE),"")</f>
        <v/>
      </c>
      <c r="D121" s="241" t="str">
        <f>IFERROR(VLOOKUP(B121,法术大全!$A:$Y,4,FALSE),"")</f>
        <v/>
      </c>
      <c r="E121" s="239">
        <v>120</v>
      </c>
      <c r="F121" s="242" t="str">
        <f t="shared" si="8"/>
        <v/>
      </c>
      <c r="BM121" s="251"/>
      <c r="BN121" s="251"/>
      <c r="BO121" s="251"/>
    </row>
    <row r="122" spans="1:67" ht="16.5" customHeight="1" x14ac:dyDescent="0.25">
      <c r="A122" s="239">
        <v>121</v>
      </c>
      <c r="B122" s="240" t="str">
        <f>IF(法术书!AH23="","",法术书!AH23)</f>
        <v/>
      </c>
      <c r="C122" s="240" t="str">
        <f>IFERROR(VLOOKUP(B122,法术大全!$A:$Y,5,FALSE),"")</f>
        <v/>
      </c>
      <c r="D122" s="241" t="str">
        <f>IFERROR(VLOOKUP(B122,法术大全!$A:$Y,4,FALSE),"")</f>
        <v/>
      </c>
      <c r="E122" s="239">
        <v>121</v>
      </c>
      <c r="F122" s="242" t="str">
        <f t="shared" si="8"/>
        <v/>
      </c>
      <c r="BM122" s="251"/>
      <c r="BN122" s="251"/>
      <c r="BO122" s="251"/>
    </row>
    <row r="123" spans="1:67" ht="16.5" customHeight="1" x14ac:dyDescent="0.25">
      <c r="A123" s="239">
        <v>122</v>
      </c>
      <c r="B123" s="240" t="str">
        <f>IF(法术书!AH24="","",法术书!AH24)</f>
        <v/>
      </c>
      <c r="C123" s="240" t="str">
        <f>IFERROR(VLOOKUP(B123,法术大全!$A:$Y,5,FALSE),"")</f>
        <v/>
      </c>
      <c r="D123" s="241" t="str">
        <f>IFERROR(VLOOKUP(B123,法术大全!$A:$Y,4,FALSE),"")</f>
        <v/>
      </c>
      <c r="E123" s="239">
        <v>122</v>
      </c>
      <c r="F123" s="242" t="str">
        <f t="shared" si="8"/>
        <v/>
      </c>
      <c r="BM123" s="251"/>
      <c r="BN123" s="251"/>
      <c r="BO123" s="251"/>
    </row>
    <row r="124" spans="1:67" ht="16.5" customHeight="1" x14ac:dyDescent="0.25">
      <c r="A124" s="239">
        <v>123</v>
      </c>
      <c r="B124" s="240" t="str">
        <f>IF(法术书!AH25="","",法术书!AH25)</f>
        <v/>
      </c>
      <c r="C124" s="240" t="str">
        <f>IFERROR(VLOOKUP(B124,法术大全!$A:$Y,5,FALSE),"")</f>
        <v/>
      </c>
      <c r="D124" s="241" t="str">
        <f>IFERROR(VLOOKUP(B124,法术大全!$A:$Y,4,FALSE),"")</f>
        <v/>
      </c>
      <c r="E124" s="239">
        <v>123</v>
      </c>
      <c r="F124" s="242" t="str">
        <f t="shared" si="8"/>
        <v/>
      </c>
      <c r="BM124" s="251"/>
      <c r="BN124" s="251"/>
      <c r="BO124" s="251"/>
    </row>
    <row r="125" spans="1:67" ht="16.5" customHeight="1" x14ac:dyDescent="0.25">
      <c r="A125" s="239">
        <v>124</v>
      </c>
      <c r="B125" s="240" t="str">
        <f>IF(法术书!AH26="","",法术书!AH26)</f>
        <v/>
      </c>
      <c r="C125" s="240" t="str">
        <f>IFERROR(VLOOKUP(B125,法术大全!$A:$Y,5,FALSE),"")</f>
        <v/>
      </c>
      <c r="D125" s="241" t="str">
        <f>IFERROR(VLOOKUP(B125,法术大全!$A:$Y,4,FALSE),"")</f>
        <v/>
      </c>
      <c r="E125" s="239">
        <v>124</v>
      </c>
      <c r="F125" s="242" t="str">
        <f t="shared" si="8"/>
        <v/>
      </c>
      <c r="BM125" s="251"/>
      <c r="BN125" s="251"/>
      <c r="BO125" s="251"/>
    </row>
    <row r="126" spans="1:67" ht="16.5" customHeight="1" x14ac:dyDescent="0.25">
      <c r="A126" s="239">
        <v>125</v>
      </c>
      <c r="B126" s="240" t="str">
        <f>IF(法术书!AH27="","",法术书!AH27)</f>
        <v/>
      </c>
      <c r="C126" s="240" t="str">
        <f>IFERROR(VLOOKUP(B126,法术大全!$A:$Y,5,FALSE),"")</f>
        <v/>
      </c>
      <c r="D126" s="241" t="str">
        <f>IFERROR(VLOOKUP(B126,法术大全!$A:$Y,4,FALSE),"")</f>
        <v/>
      </c>
      <c r="E126" s="239">
        <v>125</v>
      </c>
      <c r="F126" s="242" t="str">
        <f t="shared" si="8"/>
        <v/>
      </c>
      <c r="BM126" s="251"/>
      <c r="BN126" s="251"/>
      <c r="BO126" s="251"/>
    </row>
    <row r="127" spans="1:67" ht="16.5" customHeight="1" x14ac:dyDescent="0.25">
      <c r="A127" s="239">
        <v>126</v>
      </c>
      <c r="B127" s="240" t="str">
        <f>IF(法术书!AH28="","",法术书!AH28)</f>
        <v/>
      </c>
      <c r="C127" s="240" t="str">
        <f>IFERROR(VLOOKUP(B127,法术大全!$A:$Y,5,FALSE),"")</f>
        <v/>
      </c>
      <c r="D127" s="241" t="str">
        <f>IFERROR(VLOOKUP(B127,法术大全!$A:$Y,4,FALSE),"")</f>
        <v/>
      </c>
      <c r="E127" s="239">
        <v>126</v>
      </c>
      <c r="F127" s="242" t="str">
        <f t="shared" si="8"/>
        <v/>
      </c>
      <c r="BM127" s="251"/>
      <c r="BN127" s="251"/>
      <c r="BO127" s="251"/>
    </row>
    <row r="128" spans="1:67" ht="16.5" customHeight="1" x14ac:dyDescent="0.25">
      <c r="A128" s="239">
        <v>127</v>
      </c>
      <c r="B128" s="240" t="str">
        <f>IF(法术书!AH29="","",法术书!AH29)</f>
        <v/>
      </c>
      <c r="C128" s="240" t="str">
        <f>IFERROR(VLOOKUP(B128,法术大全!$A:$Y,5,FALSE),"")</f>
        <v/>
      </c>
      <c r="D128" s="241" t="str">
        <f>IFERROR(VLOOKUP(B128,法术大全!$A:$Y,4,FALSE),"")</f>
        <v/>
      </c>
      <c r="E128" s="239">
        <v>127</v>
      </c>
      <c r="F128" s="242" t="str">
        <f t="shared" si="8"/>
        <v/>
      </c>
      <c r="BM128" s="251"/>
      <c r="BN128" s="251"/>
      <c r="BO128" s="251"/>
    </row>
    <row r="129" spans="1:67" ht="16.5" customHeight="1" x14ac:dyDescent="0.25">
      <c r="A129" s="239">
        <v>128</v>
      </c>
      <c r="B129" s="240" t="str">
        <f>IF(法术书!AH30="","",法术书!AH30)</f>
        <v/>
      </c>
      <c r="C129" s="240" t="str">
        <f>IFERROR(VLOOKUP(B129,法术大全!$A:$Y,5,FALSE),"")</f>
        <v/>
      </c>
      <c r="D129" s="241" t="str">
        <f>IFERROR(VLOOKUP(B129,法术大全!$A:$Y,4,FALSE),"")</f>
        <v/>
      </c>
      <c r="E129" s="239">
        <v>128</v>
      </c>
      <c r="F129" s="242" t="str">
        <f t="shared" si="8"/>
        <v/>
      </c>
      <c r="BM129" s="251"/>
      <c r="BN129" s="251"/>
      <c r="BO129" s="251"/>
    </row>
    <row r="130" spans="1:67" ht="16.5" customHeight="1" x14ac:dyDescent="0.25">
      <c r="A130" s="239">
        <v>129</v>
      </c>
      <c r="B130" s="240" t="str">
        <f>IF(法术书!AH31="","",法术书!AH31)</f>
        <v/>
      </c>
      <c r="C130" s="240" t="str">
        <f>IFERROR(VLOOKUP(B130,法术大全!$A:$Y,5,FALSE),"")</f>
        <v/>
      </c>
      <c r="D130" s="241" t="str">
        <f>IFERROR(VLOOKUP(B130,法术大全!$A:$Y,4,FALSE),"")</f>
        <v/>
      </c>
      <c r="E130" s="239">
        <v>129</v>
      </c>
      <c r="F130" s="242" t="str">
        <f t="shared" si="8"/>
        <v/>
      </c>
      <c r="BM130" s="251"/>
      <c r="BN130" s="251"/>
      <c r="BO130" s="251"/>
    </row>
    <row r="131" spans="1:67" ht="16.5" customHeight="1" x14ac:dyDescent="0.25">
      <c r="A131" s="239">
        <v>130</v>
      </c>
      <c r="B131" s="240" t="str">
        <f>IF(法术书!AH32="","",法术书!AH32)</f>
        <v/>
      </c>
      <c r="C131" s="240" t="str">
        <f>IFERROR(VLOOKUP(B131,法术大全!$A:$Y,5,FALSE),"")</f>
        <v/>
      </c>
      <c r="D131" s="241" t="str">
        <f>IFERROR(VLOOKUP(B131,法术大全!$A:$Y,4,FALSE),"")</f>
        <v/>
      </c>
      <c r="E131" s="239">
        <v>130</v>
      </c>
      <c r="F131" s="242" t="str">
        <f t="shared" si="8"/>
        <v/>
      </c>
      <c r="BM131" s="251"/>
      <c r="BN131" s="251"/>
      <c r="BO131" s="251"/>
    </row>
    <row r="132" spans="1:67" ht="16.5" customHeight="1" x14ac:dyDescent="0.25">
      <c r="A132" s="239">
        <v>131</v>
      </c>
      <c r="B132" s="240" t="str">
        <f>IF(法术书!AH33="","",法术书!AH33)</f>
        <v/>
      </c>
      <c r="C132" s="240" t="str">
        <f>IFERROR(VLOOKUP(B132,法术大全!$A:$Y,5,FALSE),"")</f>
        <v/>
      </c>
      <c r="D132" s="241" t="str">
        <f>IFERROR(VLOOKUP(B132,法术大全!$A:$Y,4,FALSE),"")</f>
        <v/>
      </c>
      <c r="E132" s="239">
        <v>131</v>
      </c>
      <c r="F132" s="242" t="str">
        <f t="shared" si="8"/>
        <v/>
      </c>
      <c r="BM132" s="251"/>
      <c r="BN132" s="251"/>
      <c r="BO132" s="251"/>
    </row>
    <row r="133" spans="1:67" ht="16.5" customHeight="1" x14ac:dyDescent="0.25">
      <c r="A133" s="239">
        <v>132</v>
      </c>
      <c r="B133" s="240" t="str">
        <f>IF(法术书!AH34="","",法术书!AH34)</f>
        <v/>
      </c>
      <c r="C133" s="240" t="str">
        <f>IFERROR(VLOOKUP(B133,法术大全!$A:$Y,5,FALSE),"")</f>
        <v/>
      </c>
      <c r="D133" s="241" t="str">
        <f>IFERROR(VLOOKUP(B133,法术大全!$A:$Y,4,FALSE),"")</f>
        <v/>
      </c>
      <c r="E133" s="239">
        <v>132</v>
      </c>
      <c r="F133" s="242" t="str">
        <f t="shared" si="8"/>
        <v/>
      </c>
      <c r="BM133" s="251"/>
      <c r="BN133" s="251"/>
      <c r="BO133" s="251"/>
    </row>
    <row r="134" spans="1:67" ht="16.5" customHeight="1" x14ac:dyDescent="0.25">
      <c r="A134" s="239">
        <v>133</v>
      </c>
      <c r="B134" s="240" t="str">
        <f>IF(法术书!AH35="","",法术书!AH35)</f>
        <v/>
      </c>
      <c r="C134" s="240" t="str">
        <f>IFERROR(VLOOKUP(B134,法术大全!$A:$Y,5,FALSE),"")</f>
        <v/>
      </c>
      <c r="D134" s="241" t="str">
        <f>IFERROR(VLOOKUP(B134,法术大全!$A:$Y,4,FALSE),"")</f>
        <v/>
      </c>
      <c r="E134" s="239">
        <v>133</v>
      </c>
      <c r="F134" s="242" t="str">
        <f t="shared" ref="F134:F155" si="9">B134</f>
        <v/>
      </c>
      <c r="BM134" s="251"/>
      <c r="BN134" s="251"/>
      <c r="BO134" s="251"/>
    </row>
    <row r="135" spans="1:67" ht="16.5" customHeight="1" x14ac:dyDescent="0.25">
      <c r="A135" s="239">
        <v>134</v>
      </c>
      <c r="B135" s="240" t="str">
        <f>IF(法术书!AH36="","",法术书!AH36)</f>
        <v/>
      </c>
      <c r="C135" s="240" t="str">
        <f>IFERROR(VLOOKUP(B135,法术大全!$A:$Y,5,FALSE),"")</f>
        <v/>
      </c>
      <c r="D135" s="241" t="str">
        <f>IFERROR(VLOOKUP(B135,法术大全!$A:$Y,4,FALSE),"")</f>
        <v/>
      </c>
      <c r="E135" s="239">
        <v>134</v>
      </c>
      <c r="F135" s="242" t="str">
        <f t="shared" si="9"/>
        <v/>
      </c>
      <c r="BM135" s="251"/>
      <c r="BN135" s="251"/>
      <c r="BO135" s="251"/>
    </row>
    <row r="136" spans="1:67" ht="16.5" customHeight="1" x14ac:dyDescent="0.25">
      <c r="A136" s="239">
        <v>135</v>
      </c>
      <c r="B136" s="240" t="str">
        <f>IF(法术书!AH37="","",法术书!AH37)</f>
        <v/>
      </c>
      <c r="C136" s="240" t="str">
        <f>IFERROR(VLOOKUP(B136,法术大全!$A:$Y,5,FALSE),"")</f>
        <v/>
      </c>
      <c r="D136" s="241" t="str">
        <f>IFERROR(VLOOKUP(B136,法术大全!$A:$Y,4,FALSE),"")</f>
        <v/>
      </c>
      <c r="E136" s="239">
        <v>135</v>
      </c>
      <c r="F136" s="242" t="str">
        <f t="shared" si="9"/>
        <v/>
      </c>
      <c r="BM136" s="251"/>
      <c r="BN136" s="251"/>
      <c r="BO136" s="251"/>
    </row>
    <row r="137" spans="1:67" ht="16.5" customHeight="1" x14ac:dyDescent="0.25">
      <c r="A137" s="239">
        <v>136</v>
      </c>
      <c r="B137" s="240" t="str">
        <f>IF(法术书!AH38="","",法术书!AH38)</f>
        <v/>
      </c>
      <c r="C137" s="240" t="str">
        <f>IFERROR(VLOOKUP(B137,法术大全!$A:$Y,5,FALSE),"")</f>
        <v/>
      </c>
      <c r="D137" s="241" t="str">
        <f>IFERROR(VLOOKUP(B137,法术大全!$A:$Y,4,FALSE),"")</f>
        <v/>
      </c>
      <c r="E137" s="239">
        <v>136</v>
      </c>
      <c r="F137" s="242" t="str">
        <f t="shared" si="9"/>
        <v/>
      </c>
      <c r="BM137" s="251"/>
      <c r="BN137" s="251"/>
      <c r="BO137" s="251"/>
    </row>
    <row r="138" spans="1:67" ht="16.5" customHeight="1" x14ac:dyDescent="0.25">
      <c r="A138" s="239">
        <v>137</v>
      </c>
      <c r="B138" s="240" t="str">
        <f>IF(法术书!AH39="","",法术书!AH39)</f>
        <v/>
      </c>
      <c r="C138" s="240" t="str">
        <f>IFERROR(VLOOKUP(B138,法术大全!$A:$Y,5,FALSE),"")</f>
        <v/>
      </c>
      <c r="D138" s="241" t="str">
        <f>IFERROR(VLOOKUP(B138,法术大全!$A:$Y,4,FALSE),"")</f>
        <v/>
      </c>
      <c r="E138" s="239">
        <v>137</v>
      </c>
      <c r="F138" s="242" t="str">
        <f t="shared" si="9"/>
        <v/>
      </c>
      <c r="BM138" s="251"/>
      <c r="BN138" s="251"/>
      <c r="BO138" s="251"/>
    </row>
    <row r="139" spans="1:67" ht="16.5" customHeight="1" x14ac:dyDescent="0.25">
      <c r="A139" s="239">
        <v>138</v>
      </c>
      <c r="B139" s="240" t="str">
        <f>IF(法术书!AH40="","",法术书!AH40)</f>
        <v/>
      </c>
      <c r="C139" s="240" t="str">
        <f>IFERROR(VLOOKUP(B139,法术大全!$A:$Y,5,FALSE),"")</f>
        <v/>
      </c>
      <c r="D139" s="241" t="str">
        <f>IFERROR(VLOOKUP(B139,法术大全!$A:$Y,4,FALSE),"")</f>
        <v/>
      </c>
      <c r="E139" s="239">
        <v>138</v>
      </c>
      <c r="F139" s="242" t="str">
        <f t="shared" si="9"/>
        <v/>
      </c>
      <c r="BM139" s="251"/>
      <c r="BN139" s="251"/>
      <c r="BO139" s="251"/>
    </row>
    <row r="140" spans="1:67" ht="16.5" customHeight="1" x14ac:dyDescent="0.25">
      <c r="A140" s="239">
        <v>139</v>
      </c>
      <c r="B140" s="240" t="str">
        <f>IF(法术书!AH41="","",法术书!AH41)</f>
        <v/>
      </c>
      <c r="C140" s="240" t="str">
        <f>IFERROR(VLOOKUP(B140,法术大全!$A:$Y,5,FALSE),"")</f>
        <v/>
      </c>
      <c r="D140" s="241" t="str">
        <f>IFERROR(VLOOKUP(B140,法术大全!$A:$Y,4,FALSE),"")</f>
        <v/>
      </c>
      <c r="E140" s="239">
        <v>139</v>
      </c>
      <c r="F140" s="242" t="str">
        <f t="shared" si="9"/>
        <v/>
      </c>
      <c r="BM140" s="251"/>
      <c r="BN140" s="251"/>
      <c r="BO140" s="251"/>
    </row>
    <row r="141" spans="1:67" ht="16.5" customHeight="1" x14ac:dyDescent="0.25">
      <c r="A141" s="239">
        <v>140</v>
      </c>
      <c r="B141" s="240" t="str">
        <f>IF(法术书!AH42="","",法术书!AH42)</f>
        <v/>
      </c>
      <c r="C141" s="240" t="str">
        <f>IFERROR(VLOOKUP(B141,法术大全!$A:$Y,5,FALSE),"")</f>
        <v/>
      </c>
      <c r="D141" s="241" t="str">
        <f>IFERROR(VLOOKUP(B141,法术大全!$A:$Y,4,FALSE),"")</f>
        <v/>
      </c>
      <c r="E141" s="239">
        <v>140</v>
      </c>
      <c r="F141" s="242" t="str">
        <f t="shared" si="9"/>
        <v/>
      </c>
      <c r="BM141" s="251"/>
      <c r="BN141" s="251"/>
      <c r="BO141" s="251"/>
    </row>
    <row r="142" spans="1:67" ht="16.5" customHeight="1" x14ac:dyDescent="0.25">
      <c r="A142" s="239">
        <v>141</v>
      </c>
      <c r="B142" s="240" t="str">
        <f>IF(法术书!AH43="","",法术书!AH43)</f>
        <v/>
      </c>
      <c r="C142" s="240" t="str">
        <f>IFERROR(VLOOKUP(B142,法术大全!$A:$Y,5,FALSE),"")</f>
        <v/>
      </c>
      <c r="D142" s="241" t="str">
        <f>IFERROR(VLOOKUP(B142,法术大全!$A:$Y,4,FALSE),"")</f>
        <v/>
      </c>
      <c r="E142" s="239">
        <v>141</v>
      </c>
      <c r="F142" s="242" t="str">
        <f t="shared" si="9"/>
        <v/>
      </c>
      <c r="BM142" s="251"/>
      <c r="BN142" s="251"/>
      <c r="BO142" s="251"/>
    </row>
    <row r="143" spans="1:67" ht="16.5" customHeight="1" x14ac:dyDescent="0.25">
      <c r="A143" s="239">
        <v>142</v>
      </c>
      <c r="B143" s="240" t="str">
        <f>IF(法术书!AH44="","",法术书!AH44)</f>
        <v/>
      </c>
      <c r="C143" s="240" t="str">
        <f>IFERROR(VLOOKUP(B143,法术大全!$A:$Y,5,FALSE),"")</f>
        <v/>
      </c>
      <c r="D143" s="241" t="str">
        <f>IFERROR(VLOOKUP(B143,法术大全!$A:$Y,4,FALSE),"")</f>
        <v/>
      </c>
      <c r="E143" s="239">
        <v>142</v>
      </c>
      <c r="F143" s="242" t="str">
        <f t="shared" si="9"/>
        <v/>
      </c>
      <c r="BM143" s="251"/>
      <c r="BN143" s="251"/>
      <c r="BO143" s="251"/>
    </row>
    <row r="144" spans="1:67" ht="16.5" customHeight="1" x14ac:dyDescent="0.25">
      <c r="A144" s="239">
        <v>143</v>
      </c>
      <c r="B144" s="240" t="str">
        <f>IF(法术书!AH45="","",法术书!AH45)</f>
        <v/>
      </c>
      <c r="C144" s="240" t="str">
        <f>IFERROR(VLOOKUP(B144,法术大全!$A:$Y,5,FALSE),"")</f>
        <v/>
      </c>
      <c r="D144" s="241" t="str">
        <f>IFERROR(VLOOKUP(B144,法术大全!$A:$Y,4,FALSE),"")</f>
        <v/>
      </c>
      <c r="E144" s="239">
        <v>143</v>
      </c>
      <c r="F144" s="242" t="str">
        <f t="shared" si="9"/>
        <v/>
      </c>
      <c r="BM144" s="251"/>
      <c r="BN144" s="251"/>
      <c r="BO144" s="251"/>
    </row>
    <row r="145" spans="1:67" ht="16.5" customHeight="1" x14ac:dyDescent="0.25">
      <c r="A145" s="239">
        <v>144</v>
      </c>
      <c r="B145" s="240" t="str">
        <f>IF(法术书!AH46="","",法术书!AH46)</f>
        <v/>
      </c>
      <c r="C145" s="240" t="str">
        <f>IFERROR(VLOOKUP(B145,法术大全!$A:$Y,5,FALSE),"")</f>
        <v/>
      </c>
      <c r="D145" s="241" t="str">
        <f>IFERROR(VLOOKUP(B145,法术大全!$A:$Y,4,FALSE),"")</f>
        <v/>
      </c>
      <c r="E145" s="239">
        <v>144</v>
      </c>
      <c r="F145" s="242" t="str">
        <f t="shared" si="9"/>
        <v/>
      </c>
      <c r="BM145" s="251"/>
      <c r="BN145" s="251"/>
      <c r="BO145" s="251"/>
    </row>
    <row r="146" spans="1:67" ht="16.5" customHeight="1" x14ac:dyDescent="0.25">
      <c r="A146" s="239">
        <v>145</v>
      </c>
      <c r="B146" s="240" t="str">
        <f>IF(法术书!AH47="","",法术书!AH47)</f>
        <v/>
      </c>
      <c r="C146" s="240" t="str">
        <f>IFERROR(VLOOKUP(B146,法术大全!$A:$Y,5,FALSE),"")</f>
        <v/>
      </c>
      <c r="D146" s="241" t="str">
        <f>IFERROR(VLOOKUP(B146,法术大全!$A:$Y,4,FALSE),"")</f>
        <v/>
      </c>
      <c r="E146" s="239">
        <v>145</v>
      </c>
      <c r="F146" s="242" t="str">
        <f t="shared" si="9"/>
        <v/>
      </c>
      <c r="BM146" s="251"/>
      <c r="BN146" s="251"/>
      <c r="BO146" s="251"/>
    </row>
    <row r="147" spans="1:67" ht="16.5" customHeight="1" x14ac:dyDescent="0.25">
      <c r="A147" s="239">
        <v>146</v>
      </c>
      <c r="B147" s="240" t="str">
        <f>IF(法术书!AH48="","",法术书!AH48)</f>
        <v/>
      </c>
      <c r="C147" s="240" t="str">
        <f>IFERROR(VLOOKUP(B147,法术大全!$A:$Y,5,FALSE),"")</f>
        <v/>
      </c>
      <c r="D147" s="241" t="str">
        <f>IFERROR(VLOOKUP(B147,法术大全!$A:$Y,4,FALSE),"")</f>
        <v/>
      </c>
      <c r="E147" s="239">
        <v>146</v>
      </c>
      <c r="F147" s="242" t="str">
        <f t="shared" si="9"/>
        <v/>
      </c>
      <c r="BM147" s="251"/>
      <c r="BN147" s="251"/>
      <c r="BO147" s="251"/>
    </row>
    <row r="148" spans="1:67" ht="16.5" customHeight="1" x14ac:dyDescent="0.25">
      <c r="A148" s="239">
        <v>147</v>
      </c>
      <c r="B148" s="240" t="str">
        <f>IF(法术书!AH49="","",法术书!AH49)</f>
        <v/>
      </c>
      <c r="C148" s="240" t="str">
        <f>IFERROR(VLOOKUP(B148,法术大全!$A:$Y,5,FALSE),"")</f>
        <v/>
      </c>
      <c r="D148" s="241" t="str">
        <f>IFERROR(VLOOKUP(B148,法术大全!$A:$Y,4,FALSE),"")</f>
        <v/>
      </c>
      <c r="E148" s="239">
        <v>147</v>
      </c>
      <c r="F148" s="242" t="str">
        <f t="shared" si="9"/>
        <v/>
      </c>
      <c r="BM148" s="251"/>
      <c r="BN148" s="251"/>
      <c r="BO148" s="251"/>
    </row>
    <row r="149" spans="1:67" ht="16.5" customHeight="1" x14ac:dyDescent="0.25">
      <c r="A149" s="239">
        <v>148</v>
      </c>
      <c r="B149" s="240" t="str">
        <f>IF(法术书!AH50="","",法术书!AH50)</f>
        <v/>
      </c>
      <c r="C149" s="240" t="str">
        <f>IFERROR(VLOOKUP(B149,法术大全!$A:$Y,5,FALSE),"")</f>
        <v/>
      </c>
      <c r="D149" s="241" t="str">
        <f>IFERROR(VLOOKUP(B149,法术大全!$A:$Y,4,FALSE),"")</f>
        <v/>
      </c>
      <c r="E149" s="239">
        <v>148</v>
      </c>
      <c r="F149" s="242" t="str">
        <f t="shared" si="9"/>
        <v/>
      </c>
    </row>
    <row r="150" spans="1:67" ht="16.5" customHeight="1" x14ac:dyDescent="0.25">
      <c r="A150" s="239">
        <v>149</v>
      </c>
      <c r="B150" s="240" t="str">
        <f>IF(法术书!AH51="","",法术书!AH51)</f>
        <v/>
      </c>
      <c r="C150" s="240" t="str">
        <f>IFERROR(VLOOKUP(B150,法术大全!$A:$Y,5,FALSE),"")</f>
        <v/>
      </c>
      <c r="D150" s="241" t="str">
        <f>IFERROR(VLOOKUP(B150,法术大全!$A:$Y,4,FALSE),"")</f>
        <v/>
      </c>
      <c r="E150" s="239">
        <v>149</v>
      </c>
      <c r="F150" s="242" t="str">
        <f t="shared" si="9"/>
        <v/>
      </c>
    </row>
    <row r="151" spans="1:67" ht="16.5" customHeight="1" x14ac:dyDescent="0.25">
      <c r="A151" s="239">
        <v>150</v>
      </c>
      <c r="B151" s="240" t="str">
        <f>IF(法术书!AH52="","",法术书!AH52)</f>
        <v/>
      </c>
      <c r="C151" s="240" t="str">
        <f>IFERROR(VLOOKUP(B151,法术大全!$A:$Y,5,FALSE),"")</f>
        <v/>
      </c>
      <c r="D151" s="241" t="str">
        <f>IFERROR(VLOOKUP(B151,法术大全!$A:$Y,4,FALSE),"")</f>
        <v/>
      </c>
      <c r="E151" s="239">
        <v>150</v>
      </c>
      <c r="F151" s="242" t="str">
        <f t="shared" si="9"/>
        <v/>
      </c>
    </row>
    <row r="152" spans="1:67" ht="16.5" customHeight="1" x14ac:dyDescent="0.25">
      <c r="A152" s="239">
        <v>151</v>
      </c>
      <c r="B152" s="240" t="str">
        <f>IF(法术书!AM3="","",法术书!AM3)</f>
        <v/>
      </c>
      <c r="C152" s="240" t="str">
        <f>IFERROR(VLOOKUP(B152,法术大全!$A:$Y,5,FALSE),"")</f>
        <v/>
      </c>
      <c r="D152" s="241" t="str">
        <f>IFERROR(VLOOKUP(B152,法术大全!$A:$Y,4,FALSE),"")</f>
        <v/>
      </c>
      <c r="E152" s="239">
        <v>151</v>
      </c>
      <c r="F152" s="242" t="str">
        <f t="shared" si="9"/>
        <v/>
      </c>
    </row>
    <row r="153" spans="1:67" ht="16.5" customHeight="1" x14ac:dyDescent="0.25">
      <c r="A153" s="239">
        <v>152</v>
      </c>
      <c r="B153" s="240" t="str">
        <f>IF(法术书!AM4="","",法术书!AM4)</f>
        <v/>
      </c>
      <c r="C153" s="240" t="str">
        <f>IFERROR(VLOOKUP(B153,法术大全!$A:$Y,5,FALSE),"")</f>
        <v/>
      </c>
      <c r="D153" s="241" t="str">
        <f>IFERROR(VLOOKUP(B153,法术大全!$A:$Y,4,FALSE),"")</f>
        <v/>
      </c>
      <c r="E153" s="239">
        <v>152</v>
      </c>
      <c r="F153" s="242" t="str">
        <f t="shared" si="9"/>
        <v/>
      </c>
    </row>
    <row r="154" spans="1:67" ht="16.5" customHeight="1" x14ac:dyDescent="0.25">
      <c r="A154" s="239">
        <v>153</v>
      </c>
      <c r="B154" s="240" t="str">
        <f>IF(法术书!AM5="","",法术书!AM5)</f>
        <v/>
      </c>
      <c r="C154" s="240" t="str">
        <f>IFERROR(VLOOKUP(B154,法术大全!$A:$Y,5,FALSE),"")</f>
        <v/>
      </c>
      <c r="D154" s="241" t="str">
        <f>IFERROR(VLOOKUP(B154,法术大全!$A:$Y,4,FALSE),"")</f>
        <v/>
      </c>
      <c r="E154" s="239">
        <v>153</v>
      </c>
      <c r="F154" s="242" t="str">
        <f t="shared" si="9"/>
        <v/>
      </c>
    </row>
    <row r="155" spans="1:67" ht="16.5" customHeight="1" x14ac:dyDescent="0.25">
      <c r="A155" s="239">
        <v>154</v>
      </c>
      <c r="B155" s="240" t="str">
        <f>IF(法术书!AM6="","",法术书!AM6)</f>
        <v/>
      </c>
      <c r="C155" s="240" t="str">
        <f>IFERROR(VLOOKUP(B155,法术大全!$A:$Y,5,FALSE),"")</f>
        <v/>
      </c>
      <c r="D155" s="241" t="str">
        <f>IFERROR(VLOOKUP(B155,法术大全!$A:$Y,4,FALSE),"")</f>
        <v/>
      </c>
      <c r="E155" s="239">
        <v>154</v>
      </c>
      <c r="F155" s="242" t="str">
        <f t="shared" si="9"/>
        <v/>
      </c>
    </row>
    <row r="156" spans="1:67" ht="16.5" customHeight="1" x14ac:dyDescent="0.25">
      <c r="A156" s="239">
        <v>155</v>
      </c>
      <c r="B156" s="240" t="str">
        <f>IF(法术书!AM7="","",法术书!AM7)</f>
        <v/>
      </c>
      <c r="C156" s="240" t="str">
        <f>IFERROR(VLOOKUP(B156,法术大全!$A:$Y,5,FALSE),"")</f>
        <v/>
      </c>
      <c r="D156" s="241" t="str">
        <f>IFERROR(VLOOKUP(B156,法术大全!$A:$Y,4,FALSE),"")</f>
        <v/>
      </c>
      <c r="E156" s="239">
        <v>155</v>
      </c>
      <c r="F156" s="242" t="str">
        <f t="shared" ref="F156:F205" si="10">B156</f>
        <v/>
      </c>
    </row>
    <row r="157" spans="1:67" ht="16.5" customHeight="1" x14ac:dyDescent="0.25">
      <c r="A157" s="239">
        <v>156</v>
      </c>
      <c r="B157" s="240" t="str">
        <f>IF(法术书!AM8="","",法术书!AM8)</f>
        <v/>
      </c>
      <c r="C157" s="240" t="str">
        <f>IFERROR(VLOOKUP(B157,法术大全!$A:$Y,5,FALSE),"")</f>
        <v/>
      </c>
      <c r="D157" s="241" t="str">
        <f>IFERROR(VLOOKUP(B157,法术大全!$A:$Y,4,FALSE),"")</f>
        <v/>
      </c>
      <c r="E157" s="239">
        <v>156</v>
      </c>
      <c r="F157" s="242" t="str">
        <f t="shared" si="10"/>
        <v/>
      </c>
    </row>
    <row r="158" spans="1:67" ht="16.5" customHeight="1" x14ac:dyDescent="0.25">
      <c r="A158" s="239">
        <v>157</v>
      </c>
      <c r="B158" s="240" t="str">
        <f>IF(法术书!AM9="","",法术书!AM9)</f>
        <v/>
      </c>
      <c r="C158" s="240" t="str">
        <f>IFERROR(VLOOKUP(B158,法术大全!$A:$Y,5,FALSE),"")</f>
        <v/>
      </c>
      <c r="D158" s="241" t="str">
        <f>IFERROR(VLOOKUP(B158,法术大全!$A:$Y,4,FALSE),"")</f>
        <v/>
      </c>
      <c r="E158" s="239">
        <v>157</v>
      </c>
      <c r="F158" s="242" t="str">
        <f t="shared" si="10"/>
        <v/>
      </c>
    </row>
    <row r="159" spans="1:67" ht="16.5" customHeight="1" x14ac:dyDescent="0.25">
      <c r="A159" s="239">
        <v>158</v>
      </c>
      <c r="B159" s="240" t="str">
        <f>IF(法术书!AM10="","",法术书!AM10)</f>
        <v/>
      </c>
      <c r="C159" s="240" t="str">
        <f>IFERROR(VLOOKUP(B159,法术大全!$A:$Y,5,FALSE),"")</f>
        <v/>
      </c>
      <c r="D159" s="241" t="str">
        <f>IFERROR(VLOOKUP(B159,法术大全!$A:$Y,4,FALSE),"")</f>
        <v/>
      </c>
      <c r="E159" s="239">
        <v>158</v>
      </c>
      <c r="F159" s="242" t="str">
        <f t="shared" si="10"/>
        <v/>
      </c>
    </row>
    <row r="160" spans="1:67" ht="16.5" customHeight="1" x14ac:dyDescent="0.25">
      <c r="A160" s="239">
        <v>159</v>
      </c>
      <c r="B160" s="240" t="str">
        <f>IF(法术书!AM11="","",法术书!AM11)</f>
        <v/>
      </c>
      <c r="C160" s="240" t="str">
        <f>IFERROR(VLOOKUP(B160,法术大全!$A:$Y,5,FALSE),"")</f>
        <v/>
      </c>
      <c r="D160" s="241" t="str">
        <f>IFERROR(VLOOKUP(B160,法术大全!$A:$Y,4,FALSE),"")</f>
        <v/>
      </c>
      <c r="E160" s="239">
        <v>159</v>
      </c>
      <c r="F160" s="242" t="str">
        <f t="shared" si="10"/>
        <v/>
      </c>
    </row>
    <row r="161" spans="1:6" ht="16.5" customHeight="1" x14ac:dyDescent="0.25">
      <c r="A161" s="239">
        <v>160</v>
      </c>
      <c r="B161" s="240" t="str">
        <f>IF(法术书!AM12="","",法术书!AM12)</f>
        <v/>
      </c>
      <c r="C161" s="240" t="str">
        <f>IFERROR(VLOOKUP(B161,法术大全!$A:$Y,5,FALSE),"")</f>
        <v/>
      </c>
      <c r="D161" s="241" t="str">
        <f>IFERROR(VLOOKUP(B161,法术大全!$A:$Y,4,FALSE),"")</f>
        <v/>
      </c>
      <c r="E161" s="239">
        <v>160</v>
      </c>
      <c r="F161" s="242" t="str">
        <f t="shared" si="10"/>
        <v/>
      </c>
    </row>
    <row r="162" spans="1:6" ht="16.5" customHeight="1" x14ac:dyDescent="0.25">
      <c r="A162" s="239">
        <v>161</v>
      </c>
      <c r="B162" s="240" t="str">
        <f>IF(法术书!AM13="","",法术书!AM13)</f>
        <v/>
      </c>
      <c r="C162" s="240" t="str">
        <f>IFERROR(VLOOKUP(B162,法术大全!$A:$Y,5,FALSE),"")</f>
        <v/>
      </c>
      <c r="D162" s="241" t="str">
        <f>IFERROR(VLOOKUP(B162,法术大全!$A:$Y,4,FALSE),"")</f>
        <v/>
      </c>
      <c r="E162" s="239">
        <v>161</v>
      </c>
      <c r="F162" s="242" t="str">
        <f t="shared" si="10"/>
        <v/>
      </c>
    </row>
    <row r="163" spans="1:6" ht="16.5" customHeight="1" x14ac:dyDescent="0.25">
      <c r="A163" s="239">
        <v>162</v>
      </c>
      <c r="B163" s="240" t="str">
        <f>IF(法术书!AM14="","",法术书!AM14)</f>
        <v/>
      </c>
      <c r="C163" s="240" t="str">
        <f>IFERROR(VLOOKUP(B163,法术大全!$A:$Y,5,FALSE),"")</f>
        <v/>
      </c>
      <c r="D163" s="241" t="str">
        <f>IFERROR(VLOOKUP(B163,法术大全!$A:$Y,4,FALSE),"")</f>
        <v/>
      </c>
      <c r="E163" s="239">
        <v>162</v>
      </c>
      <c r="F163" s="242" t="str">
        <f t="shared" si="10"/>
        <v/>
      </c>
    </row>
    <row r="164" spans="1:6" ht="16.5" customHeight="1" x14ac:dyDescent="0.25">
      <c r="A164" s="239">
        <v>163</v>
      </c>
      <c r="B164" s="240" t="str">
        <f>IF(法术书!AM15="","",法术书!AM15)</f>
        <v/>
      </c>
      <c r="C164" s="240" t="str">
        <f>IFERROR(VLOOKUP(B164,法术大全!$A:$Y,5,FALSE),"")</f>
        <v/>
      </c>
      <c r="D164" s="241" t="str">
        <f>IFERROR(VLOOKUP(B164,法术大全!$A:$Y,4,FALSE),"")</f>
        <v/>
      </c>
      <c r="E164" s="239">
        <v>163</v>
      </c>
      <c r="F164" s="242" t="str">
        <f t="shared" si="10"/>
        <v/>
      </c>
    </row>
    <row r="165" spans="1:6" ht="16.5" customHeight="1" x14ac:dyDescent="0.25">
      <c r="A165" s="239">
        <v>164</v>
      </c>
      <c r="B165" s="240" t="str">
        <f>IF(法术书!AM16="","",法术书!AM16)</f>
        <v/>
      </c>
      <c r="C165" s="240" t="str">
        <f>IFERROR(VLOOKUP(B165,法术大全!$A:$Y,5,FALSE),"")</f>
        <v/>
      </c>
      <c r="D165" s="241" t="str">
        <f>IFERROR(VLOOKUP(B165,法术大全!$A:$Y,4,FALSE),"")</f>
        <v/>
      </c>
      <c r="E165" s="239">
        <v>164</v>
      </c>
      <c r="F165" s="242" t="str">
        <f t="shared" si="10"/>
        <v/>
      </c>
    </row>
    <row r="166" spans="1:6" ht="16.5" customHeight="1" x14ac:dyDescent="0.25">
      <c r="A166" s="239">
        <v>165</v>
      </c>
      <c r="B166" s="240" t="str">
        <f>IF(法术书!AM17="","",法术书!AM17)</f>
        <v/>
      </c>
      <c r="C166" s="240" t="str">
        <f>IFERROR(VLOOKUP(B166,法术大全!$A:$Y,5,FALSE),"")</f>
        <v/>
      </c>
      <c r="D166" s="241" t="str">
        <f>IFERROR(VLOOKUP(B166,法术大全!$A:$Y,4,FALSE),"")</f>
        <v/>
      </c>
      <c r="E166" s="239">
        <v>165</v>
      </c>
      <c r="F166" s="242" t="str">
        <f t="shared" si="10"/>
        <v/>
      </c>
    </row>
    <row r="167" spans="1:6" ht="16.5" customHeight="1" x14ac:dyDescent="0.25">
      <c r="A167" s="239">
        <v>166</v>
      </c>
      <c r="B167" s="240" t="str">
        <f>IF(法术书!AM18="","",法术书!AM18)</f>
        <v/>
      </c>
      <c r="C167" s="240" t="str">
        <f>IFERROR(VLOOKUP(B167,法术大全!$A:$Y,5,FALSE),"")</f>
        <v/>
      </c>
      <c r="D167" s="241" t="str">
        <f>IFERROR(VLOOKUP(B167,法术大全!$A:$Y,4,FALSE),"")</f>
        <v/>
      </c>
      <c r="E167" s="239">
        <v>166</v>
      </c>
      <c r="F167" s="242" t="str">
        <f t="shared" si="10"/>
        <v/>
      </c>
    </row>
    <row r="168" spans="1:6" ht="16.5" customHeight="1" x14ac:dyDescent="0.25">
      <c r="A168" s="239">
        <v>167</v>
      </c>
      <c r="B168" s="240" t="str">
        <f>IF(法术书!AM19="","",法术书!AM19)</f>
        <v/>
      </c>
      <c r="C168" s="240" t="str">
        <f>IFERROR(VLOOKUP(B168,法术大全!$A:$Y,5,FALSE),"")</f>
        <v/>
      </c>
      <c r="D168" s="241" t="str">
        <f>IFERROR(VLOOKUP(B168,法术大全!$A:$Y,4,FALSE),"")</f>
        <v/>
      </c>
      <c r="E168" s="239">
        <v>167</v>
      </c>
      <c r="F168" s="242" t="str">
        <f t="shared" si="10"/>
        <v/>
      </c>
    </row>
    <row r="169" spans="1:6" ht="16.5" customHeight="1" x14ac:dyDescent="0.25">
      <c r="A169" s="239">
        <v>168</v>
      </c>
      <c r="B169" s="240" t="str">
        <f>IF(法术书!AM20="","",法术书!AM20)</f>
        <v/>
      </c>
      <c r="C169" s="240" t="str">
        <f>IFERROR(VLOOKUP(B169,法术大全!$A:$Y,5,FALSE),"")</f>
        <v/>
      </c>
      <c r="D169" s="241" t="str">
        <f>IFERROR(VLOOKUP(B169,法术大全!$A:$Y,4,FALSE),"")</f>
        <v/>
      </c>
      <c r="E169" s="239">
        <v>168</v>
      </c>
      <c r="F169" s="242" t="str">
        <f t="shared" si="10"/>
        <v/>
      </c>
    </row>
    <row r="170" spans="1:6" ht="16.5" customHeight="1" x14ac:dyDescent="0.25">
      <c r="A170" s="239">
        <v>169</v>
      </c>
      <c r="B170" s="240" t="str">
        <f>IF(法术书!AM21="","",法术书!AM21)</f>
        <v/>
      </c>
      <c r="C170" s="240" t="str">
        <f>IFERROR(VLOOKUP(B170,法术大全!$A:$Y,5,FALSE),"")</f>
        <v/>
      </c>
      <c r="D170" s="241" t="str">
        <f>IFERROR(VLOOKUP(B170,法术大全!$A:$Y,4,FALSE),"")</f>
        <v/>
      </c>
      <c r="E170" s="239">
        <v>169</v>
      </c>
      <c r="F170" s="242" t="str">
        <f t="shared" si="10"/>
        <v/>
      </c>
    </row>
    <row r="171" spans="1:6" ht="16.5" customHeight="1" x14ac:dyDescent="0.25">
      <c r="A171" s="239">
        <v>170</v>
      </c>
      <c r="B171" s="240" t="str">
        <f>IF(法术书!AM22="","",法术书!AM22)</f>
        <v/>
      </c>
      <c r="C171" s="240" t="str">
        <f>IFERROR(VLOOKUP(B171,法术大全!$A:$Y,5,FALSE),"")</f>
        <v/>
      </c>
      <c r="D171" s="241" t="str">
        <f>IFERROR(VLOOKUP(B171,法术大全!$A:$Y,4,FALSE),"")</f>
        <v/>
      </c>
      <c r="E171" s="239">
        <v>170</v>
      </c>
      <c r="F171" s="242" t="str">
        <f t="shared" si="10"/>
        <v/>
      </c>
    </row>
    <row r="172" spans="1:6" ht="16.5" customHeight="1" x14ac:dyDescent="0.25">
      <c r="A172" s="239">
        <v>171</v>
      </c>
      <c r="B172" s="240" t="str">
        <f>IF(法术书!AM23="","",法术书!AM23)</f>
        <v/>
      </c>
      <c r="C172" s="240" t="str">
        <f>IFERROR(VLOOKUP(B172,法术大全!$A:$Y,5,FALSE),"")</f>
        <v/>
      </c>
      <c r="D172" s="241" t="str">
        <f>IFERROR(VLOOKUP(B172,法术大全!$A:$Y,4,FALSE),"")</f>
        <v/>
      </c>
      <c r="E172" s="239">
        <v>171</v>
      </c>
      <c r="F172" s="242" t="str">
        <f t="shared" si="10"/>
        <v/>
      </c>
    </row>
    <row r="173" spans="1:6" ht="16.5" customHeight="1" x14ac:dyDescent="0.25">
      <c r="A173" s="239">
        <v>172</v>
      </c>
      <c r="B173" s="240" t="str">
        <f>IF(法术书!AM24="","",法术书!AM24)</f>
        <v/>
      </c>
      <c r="C173" s="240" t="str">
        <f>IFERROR(VLOOKUP(B173,法术大全!$A:$Y,5,FALSE),"")</f>
        <v/>
      </c>
      <c r="D173" s="241" t="str">
        <f>IFERROR(VLOOKUP(B173,法术大全!$A:$Y,4,FALSE),"")</f>
        <v/>
      </c>
      <c r="E173" s="239">
        <v>172</v>
      </c>
      <c r="F173" s="242" t="str">
        <f t="shared" si="10"/>
        <v/>
      </c>
    </row>
    <row r="174" spans="1:6" ht="16.5" customHeight="1" x14ac:dyDescent="0.25">
      <c r="A174" s="239">
        <v>173</v>
      </c>
      <c r="B174" s="240" t="str">
        <f>IF(法术书!AM25="","",法术书!AM25)</f>
        <v/>
      </c>
      <c r="C174" s="240" t="str">
        <f>IFERROR(VLOOKUP(B174,法术大全!$A:$Y,5,FALSE),"")</f>
        <v/>
      </c>
      <c r="D174" s="241" t="str">
        <f>IFERROR(VLOOKUP(B174,法术大全!$A:$Y,4,FALSE),"")</f>
        <v/>
      </c>
      <c r="E174" s="239">
        <v>173</v>
      </c>
      <c r="F174" s="242" t="str">
        <f t="shared" si="10"/>
        <v/>
      </c>
    </row>
    <row r="175" spans="1:6" ht="16.5" customHeight="1" x14ac:dyDescent="0.25">
      <c r="A175" s="239">
        <v>174</v>
      </c>
      <c r="B175" s="240" t="str">
        <f>IF(法术书!AM26="","",法术书!AM26)</f>
        <v/>
      </c>
      <c r="C175" s="240" t="str">
        <f>IFERROR(VLOOKUP(B175,法术大全!$A:$Y,5,FALSE),"")</f>
        <v/>
      </c>
      <c r="D175" s="241" t="str">
        <f>IFERROR(VLOOKUP(B175,法术大全!$A:$Y,4,FALSE),"")</f>
        <v/>
      </c>
      <c r="E175" s="239">
        <v>174</v>
      </c>
      <c r="F175" s="242" t="str">
        <f t="shared" si="10"/>
        <v/>
      </c>
    </row>
    <row r="176" spans="1:6" ht="16.5" customHeight="1" x14ac:dyDescent="0.25">
      <c r="A176" s="239">
        <v>175</v>
      </c>
      <c r="B176" s="240" t="str">
        <f>IF(法术书!AM27="","",法术书!AM27)</f>
        <v/>
      </c>
      <c r="C176" s="240" t="str">
        <f>IFERROR(VLOOKUP(B176,法术大全!$A:$Y,5,FALSE),"")</f>
        <v/>
      </c>
      <c r="D176" s="241" t="str">
        <f>IFERROR(VLOOKUP(B176,法术大全!$A:$Y,4,FALSE),"")</f>
        <v/>
      </c>
      <c r="E176" s="239">
        <v>175</v>
      </c>
      <c r="F176" s="242" t="str">
        <f t="shared" si="10"/>
        <v/>
      </c>
    </row>
    <row r="177" spans="1:6" ht="16.5" customHeight="1" x14ac:dyDescent="0.25">
      <c r="A177" s="239">
        <v>176</v>
      </c>
      <c r="B177" s="240" t="str">
        <f>IF(法术书!AM28="","",法术书!AM28)</f>
        <v/>
      </c>
      <c r="C177" s="240" t="str">
        <f>IFERROR(VLOOKUP(B177,法术大全!$A:$Y,5,FALSE),"")</f>
        <v/>
      </c>
      <c r="D177" s="241" t="str">
        <f>IFERROR(VLOOKUP(B177,法术大全!$A:$Y,4,FALSE),"")</f>
        <v/>
      </c>
      <c r="E177" s="239">
        <v>176</v>
      </c>
      <c r="F177" s="242" t="str">
        <f t="shared" si="10"/>
        <v/>
      </c>
    </row>
    <row r="178" spans="1:6" ht="16.5" customHeight="1" x14ac:dyDescent="0.25">
      <c r="A178" s="239">
        <v>177</v>
      </c>
      <c r="B178" s="240" t="str">
        <f>IF(法术书!AM29="","",法术书!AM29)</f>
        <v/>
      </c>
      <c r="C178" s="240" t="str">
        <f>IFERROR(VLOOKUP(B178,法术大全!$A:$Y,5,FALSE),"")</f>
        <v/>
      </c>
      <c r="D178" s="241" t="str">
        <f>IFERROR(VLOOKUP(B178,法术大全!$A:$Y,4,FALSE),"")</f>
        <v/>
      </c>
      <c r="E178" s="239">
        <v>177</v>
      </c>
      <c r="F178" s="242" t="str">
        <f t="shared" si="10"/>
        <v/>
      </c>
    </row>
    <row r="179" spans="1:6" ht="16.5" customHeight="1" x14ac:dyDescent="0.25">
      <c r="A179" s="239">
        <v>178</v>
      </c>
      <c r="B179" s="240" t="str">
        <f>IF(法术书!AM30="","",法术书!AM30)</f>
        <v/>
      </c>
      <c r="C179" s="240" t="str">
        <f>IFERROR(VLOOKUP(B179,法术大全!$A:$Y,5,FALSE),"")</f>
        <v/>
      </c>
      <c r="D179" s="241" t="str">
        <f>IFERROR(VLOOKUP(B179,法术大全!$A:$Y,4,FALSE),"")</f>
        <v/>
      </c>
      <c r="E179" s="239">
        <v>178</v>
      </c>
      <c r="F179" s="242" t="str">
        <f t="shared" si="10"/>
        <v/>
      </c>
    </row>
    <row r="180" spans="1:6" ht="16.5" customHeight="1" x14ac:dyDescent="0.25">
      <c r="A180" s="239">
        <v>179</v>
      </c>
      <c r="B180" s="240" t="str">
        <f>IF(法术书!AM31="","",法术书!AM31)</f>
        <v/>
      </c>
      <c r="C180" s="240" t="str">
        <f>IFERROR(VLOOKUP(B180,法术大全!$A:$Y,5,FALSE),"")</f>
        <v/>
      </c>
      <c r="D180" s="241" t="str">
        <f>IFERROR(VLOOKUP(B180,法术大全!$A:$Y,4,FALSE),"")</f>
        <v/>
      </c>
      <c r="E180" s="239">
        <v>179</v>
      </c>
      <c r="F180" s="242" t="str">
        <f t="shared" si="10"/>
        <v/>
      </c>
    </row>
    <row r="181" spans="1:6" ht="16.5" customHeight="1" x14ac:dyDescent="0.25">
      <c r="A181" s="239">
        <v>180</v>
      </c>
      <c r="B181" s="240" t="str">
        <f>IF(法术书!AM32="","",法术书!AM32)</f>
        <v/>
      </c>
      <c r="C181" s="240" t="str">
        <f>IFERROR(VLOOKUP(B181,法术大全!$A:$Y,5,FALSE),"")</f>
        <v/>
      </c>
      <c r="D181" s="241" t="str">
        <f>IFERROR(VLOOKUP(B181,法术大全!$A:$Y,4,FALSE),"")</f>
        <v/>
      </c>
      <c r="E181" s="239">
        <v>180</v>
      </c>
      <c r="F181" s="242" t="str">
        <f t="shared" si="10"/>
        <v/>
      </c>
    </row>
    <row r="182" spans="1:6" ht="16.5" customHeight="1" x14ac:dyDescent="0.25">
      <c r="A182" s="239">
        <v>181</v>
      </c>
      <c r="B182" s="240" t="str">
        <f>IF(法术书!AM33="","",法术书!AM33)</f>
        <v/>
      </c>
      <c r="C182" s="240" t="str">
        <f>IFERROR(VLOOKUP(B182,法术大全!$A:$Y,5,FALSE),"")</f>
        <v/>
      </c>
      <c r="D182" s="241" t="str">
        <f>IFERROR(VLOOKUP(B182,法术大全!$A:$Y,4,FALSE),"")</f>
        <v/>
      </c>
      <c r="E182" s="239">
        <v>181</v>
      </c>
      <c r="F182" s="242" t="str">
        <f t="shared" si="10"/>
        <v/>
      </c>
    </row>
    <row r="183" spans="1:6" ht="16.5" customHeight="1" x14ac:dyDescent="0.25">
      <c r="A183" s="239">
        <v>182</v>
      </c>
      <c r="B183" s="240" t="str">
        <f>IF(法术书!AM34="","",法术书!AM34)</f>
        <v/>
      </c>
      <c r="C183" s="240" t="str">
        <f>IFERROR(VLOOKUP(B183,法术大全!$A:$Y,5,FALSE),"")</f>
        <v/>
      </c>
      <c r="D183" s="241" t="str">
        <f>IFERROR(VLOOKUP(B183,法术大全!$A:$Y,4,FALSE),"")</f>
        <v/>
      </c>
      <c r="E183" s="239">
        <v>182</v>
      </c>
      <c r="F183" s="242" t="str">
        <f t="shared" si="10"/>
        <v/>
      </c>
    </row>
    <row r="184" spans="1:6" ht="16.5" customHeight="1" x14ac:dyDescent="0.25">
      <c r="A184" s="239">
        <v>183</v>
      </c>
      <c r="B184" s="240" t="str">
        <f>IF(法术书!AM35="","",法术书!AM35)</f>
        <v/>
      </c>
      <c r="C184" s="240" t="str">
        <f>IFERROR(VLOOKUP(B184,法术大全!$A:$Y,5,FALSE),"")</f>
        <v/>
      </c>
      <c r="D184" s="241" t="str">
        <f>IFERROR(VLOOKUP(B184,法术大全!$A:$Y,4,FALSE),"")</f>
        <v/>
      </c>
      <c r="E184" s="239">
        <v>183</v>
      </c>
      <c r="F184" s="242" t="str">
        <f t="shared" si="10"/>
        <v/>
      </c>
    </row>
    <row r="185" spans="1:6" ht="16.5" customHeight="1" x14ac:dyDescent="0.25">
      <c r="A185" s="239">
        <v>184</v>
      </c>
      <c r="B185" s="240" t="str">
        <f>IF(法术书!AM36="","",法术书!AM36)</f>
        <v/>
      </c>
      <c r="C185" s="240" t="str">
        <f>IFERROR(VLOOKUP(B185,法术大全!$A:$Y,5,FALSE),"")</f>
        <v/>
      </c>
      <c r="D185" s="241" t="str">
        <f>IFERROR(VLOOKUP(B185,法术大全!$A:$Y,4,FALSE),"")</f>
        <v/>
      </c>
      <c r="E185" s="239">
        <v>184</v>
      </c>
      <c r="F185" s="242" t="str">
        <f t="shared" si="10"/>
        <v/>
      </c>
    </row>
    <row r="186" spans="1:6" ht="16.5" customHeight="1" x14ac:dyDescent="0.25">
      <c r="A186" s="239">
        <v>185</v>
      </c>
      <c r="B186" s="240" t="str">
        <f>IF(法术书!AM37="","",法术书!AM37)</f>
        <v/>
      </c>
      <c r="C186" s="240" t="str">
        <f>IFERROR(VLOOKUP(B186,法术大全!$A:$Y,5,FALSE),"")</f>
        <v/>
      </c>
      <c r="D186" s="241" t="str">
        <f>IFERROR(VLOOKUP(B186,法术大全!$A:$Y,4,FALSE),"")</f>
        <v/>
      </c>
      <c r="E186" s="239">
        <v>185</v>
      </c>
      <c r="F186" s="242" t="str">
        <f t="shared" si="10"/>
        <v/>
      </c>
    </row>
    <row r="187" spans="1:6" ht="16.5" customHeight="1" x14ac:dyDescent="0.25">
      <c r="A187" s="239">
        <v>186</v>
      </c>
      <c r="B187" s="240" t="str">
        <f>IF(法术书!AM38="","",法术书!AM38)</f>
        <v/>
      </c>
      <c r="C187" s="240" t="str">
        <f>IFERROR(VLOOKUP(B187,法术大全!$A:$Y,5,FALSE),"")</f>
        <v/>
      </c>
      <c r="D187" s="241" t="str">
        <f>IFERROR(VLOOKUP(B187,法术大全!$A:$Y,4,FALSE),"")</f>
        <v/>
      </c>
      <c r="E187" s="239">
        <v>186</v>
      </c>
      <c r="F187" s="242" t="str">
        <f t="shared" si="10"/>
        <v/>
      </c>
    </row>
    <row r="188" spans="1:6" ht="16.5" customHeight="1" x14ac:dyDescent="0.25">
      <c r="A188" s="239">
        <v>187</v>
      </c>
      <c r="B188" s="240" t="str">
        <f>IF(法术书!AM39="","",法术书!AM39)</f>
        <v/>
      </c>
      <c r="C188" s="240" t="str">
        <f>IFERROR(VLOOKUP(B188,法术大全!$A:$Y,5,FALSE),"")</f>
        <v/>
      </c>
      <c r="D188" s="241" t="str">
        <f>IFERROR(VLOOKUP(B188,法术大全!$A:$Y,4,FALSE),"")</f>
        <v/>
      </c>
      <c r="E188" s="239">
        <v>187</v>
      </c>
      <c r="F188" s="242" t="str">
        <f t="shared" si="10"/>
        <v/>
      </c>
    </row>
    <row r="189" spans="1:6" ht="16.5" customHeight="1" x14ac:dyDescent="0.25">
      <c r="A189" s="239">
        <v>188</v>
      </c>
      <c r="B189" s="240" t="str">
        <f>IF(法术书!AM40="","",法术书!AM40)</f>
        <v/>
      </c>
      <c r="C189" s="240" t="str">
        <f>IFERROR(VLOOKUP(B189,法术大全!$A:$Y,5,FALSE),"")</f>
        <v/>
      </c>
      <c r="D189" s="241" t="str">
        <f>IFERROR(VLOOKUP(B189,法术大全!$A:$Y,4,FALSE),"")</f>
        <v/>
      </c>
      <c r="E189" s="239">
        <v>188</v>
      </c>
      <c r="F189" s="242" t="str">
        <f t="shared" si="10"/>
        <v/>
      </c>
    </row>
    <row r="190" spans="1:6" ht="16.5" customHeight="1" x14ac:dyDescent="0.25">
      <c r="A190" s="239">
        <v>189</v>
      </c>
      <c r="B190" s="240" t="str">
        <f>IF(法术书!AM41="","",法术书!AM41)</f>
        <v/>
      </c>
      <c r="C190" s="240" t="str">
        <f>IFERROR(VLOOKUP(B190,法术大全!$A:$Y,5,FALSE),"")</f>
        <v/>
      </c>
      <c r="D190" s="241" t="str">
        <f>IFERROR(VLOOKUP(B190,法术大全!$A:$Y,4,FALSE),"")</f>
        <v/>
      </c>
      <c r="E190" s="239">
        <v>189</v>
      </c>
      <c r="F190" s="242" t="str">
        <f t="shared" si="10"/>
        <v/>
      </c>
    </row>
    <row r="191" spans="1:6" ht="16.5" customHeight="1" x14ac:dyDescent="0.25">
      <c r="A191" s="239">
        <v>190</v>
      </c>
      <c r="B191" s="240" t="str">
        <f>IF(法术书!AM42="","",法术书!AM42)</f>
        <v/>
      </c>
      <c r="C191" s="240" t="str">
        <f>IFERROR(VLOOKUP(B191,法术大全!$A:$Y,5,FALSE),"")</f>
        <v/>
      </c>
      <c r="D191" s="241" t="str">
        <f>IFERROR(VLOOKUP(B191,法术大全!$A:$Y,4,FALSE),"")</f>
        <v/>
      </c>
      <c r="E191" s="239">
        <v>190</v>
      </c>
      <c r="F191" s="242" t="str">
        <f t="shared" si="10"/>
        <v/>
      </c>
    </row>
    <row r="192" spans="1:6" ht="16.5" customHeight="1" x14ac:dyDescent="0.25">
      <c r="A192" s="239">
        <v>191</v>
      </c>
      <c r="B192" s="240" t="str">
        <f>IF(法术书!AM43="","",法术书!AM43)</f>
        <v/>
      </c>
      <c r="C192" s="240" t="str">
        <f>IFERROR(VLOOKUP(B192,法术大全!$A:$Y,5,FALSE),"")</f>
        <v/>
      </c>
      <c r="D192" s="241" t="str">
        <f>IFERROR(VLOOKUP(B192,法术大全!$A:$Y,4,FALSE),"")</f>
        <v/>
      </c>
      <c r="E192" s="239">
        <v>191</v>
      </c>
      <c r="F192" s="242" t="str">
        <f t="shared" si="10"/>
        <v/>
      </c>
    </row>
    <row r="193" spans="1:6" ht="16.5" customHeight="1" x14ac:dyDescent="0.25">
      <c r="A193" s="239">
        <v>192</v>
      </c>
      <c r="B193" s="240" t="str">
        <f>IF(法术书!AM44="","",法术书!AM44)</f>
        <v/>
      </c>
      <c r="C193" s="240" t="str">
        <f>IFERROR(VLOOKUP(B193,法术大全!$A:$Y,5,FALSE),"")</f>
        <v/>
      </c>
      <c r="D193" s="241" t="str">
        <f>IFERROR(VLOOKUP(B193,法术大全!$A:$Y,4,FALSE),"")</f>
        <v/>
      </c>
      <c r="E193" s="239">
        <v>192</v>
      </c>
      <c r="F193" s="242" t="str">
        <f t="shared" si="10"/>
        <v/>
      </c>
    </row>
    <row r="194" spans="1:6" ht="16.5" customHeight="1" x14ac:dyDescent="0.25">
      <c r="A194" s="239">
        <v>193</v>
      </c>
      <c r="B194" s="240" t="str">
        <f>IF(法术书!AM45="","",法术书!AM45)</f>
        <v/>
      </c>
      <c r="C194" s="240" t="str">
        <f>IFERROR(VLOOKUP(B194,法术大全!$A:$Y,5,FALSE),"")</f>
        <v/>
      </c>
      <c r="D194" s="241" t="str">
        <f>IFERROR(VLOOKUP(B194,法术大全!$A:$Y,4,FALSE),"")</f>
        <v/>
      </c>
      <c r="E194" s="239">
        <v>193</v>
      </c>
      <c r="F194" s="242" t="str">
        <f t="shared" si="10"/>
        <v/>
      </c>
    </row>
    <row r="195" spans="1:6" ht="16.5" customHeight="1" x14ac:dyDescent="0.25">
      <c r="A195" s="239">
        <v>194</v>
      </c>
      <c r="B195" s="240" t="str">
        <f>IF(法术书!AM46="","",法术书!AM46)</f>
        <v/>
      </c>
      <c r="C195" s="240" t="str">
        <f>IFERROR(VLOOKUP(B195,法术大全!$A:$Y,5,FALSE),"")</f>
        <v/>
      </c>
      <c r="D195" s="241" t="str">
        <f>IFERROR(VLOOKUP(B195,法术大全!$A:$Y,4,FALSE),"")</f>
        <v/>
      </c>
      <c r="E195" s="239">
        <v>194</v>
      </c>
      <c r="F195" s="242" t="str">
        <f t="shared" si="10"/>
        <v/>
      </c>
    </row>
    <row r="196" spans="1:6" ht="16.5" customHeight="1" x14ac:dyDescent="0.25">
      <c r="A196" s="239">
        <v>195</v>
      </c>
      <c r="B196" s="240" t="str">
        <f>IF(法术书!AM47="","",法术书!AM47)</f>
        <v/>
      </c>
      <c r="C196" s="240" t="str">
        <f>IFERROR(VLOOKUP(B196,法术大全!$A:$Y,5,FALSE),"")</f>
        <v/>
      </c>
      <c r="D196" s="241" t="str">
        <f>IFERROR(VLOOKUP(B196,法术大全!$A:$Y,4,FALSE),"")</f>
        <v/>
      </c>
      <c r="E196" s="239">
        <v>195</v>
      </c>
      <c r="F196" s="242" t="str">
        <f t="shared" si="10"/>
        <v/>
      </c>
    </row>
    <row r="197" spans="1:6" ht="16.5" customHeight="1" x14ac:dyDescent="0.25">
      <c r="A197" s="239">
        <v>196</v>
      </c>
      <c r="B197" s="240" t="str">
        <f>IF(法术书!AM48="","",法术书!AM48)</f>
        <v/>
      </c>
      <c r="C197" s="240" t="str">
        <f>IFERROR(VLOOKUP(B197,法术大全!$A:$Y,5,FALSE),"")</f>
        <v/>
      </c>
      <c r="D197" s="241" t="str">
        <f>IFERROR(VLOOKUP(B197,法术大全!$A:$Y,4,FALSE),"")</f>
        <v/>
      </c>
      <c r="E197" s="239">
        <v>196</v>
      </c>
      <c r="F197" s="242" t="str">
        <f t="shared" si="10"/>
        <v/>
      </c>
    </row>
    <row r="198" spans="1:6" ht="16.5" customHeight="1" x14ac:dyDescent="0.25">
      <c r="A198" s="239">
        <v>197</v>
      </c>
      <c r="B198" s="240" t="str">
        <f>IF(法术书!AM49="","",法术书!AM49)</f>
        <v/>
      </c>
      <c r="C198" s="240" t="str">
        <f>IFERROR(VLOOKUP(B198,法术大全!$A:$Y,5,FALSE),"")</f>
        <v/>
      </c>
      <c r="D198" s="241" t="str">
        <f>IFERROR(VLOOKUP(B198,法术大全!$A:$Y,4,FALSE),"")</f>
        <v/>
      </c>
      <c r="E198" s="239">
        <v>197</v>
      </c>
      <c r="F198" s="242" t="str">
        <f t="shared" si="10"/>
        <v/>
      </c>
    </row>
    <row r="199" spans="1:6" ht="16.5" customHeight="1" x14ac:dyDescent="0.25">
      <c r="A199" s="239">
        <v>198</v>
      </c>
      <c r="B199" s="240" t="str">
        <f>IF(法术书!AM50="","",法术书!AM50)</f>
        <v/>
      </c>
      <c r="C199" s="240" t="str">
        <f>IFERROR(VLOOKUP(B199,法术大全!$A:$Y,5,FALSE),"")</f>
        <v/>
      </c>
      <c r="D199" s="241" t="str">
        <f>IFERROR(VLOOKUP(B199,法术大全!$A:$Y,4,FALSE),"")</f>
        <v/>
      </c>
      <c r="E199" s="239">
        <v>198</v>
      </c>
      <c r="F199" s="242" t="str">
        <f t="shared" si="10"/>
        <v/>
      </c>
    </row>
    <row r="200" spans="1:6" ht="16.5" customHeight="1" x14ac:dyDescent="0.25">
      <c r="A200" s="239">
        <v>199</v>
      </c>
      <c r="B200" s="240" t="str">
        <f>IF(法术书!AM51="","",法术书!AM51)</f>
        <v/>
      </c>
      <c r="C200" s="240" t="str">
        <f>IFERROR(VLOOKUP(B200,法术大全!$A:$Y,5,FALSE),"")</f>
        <v/>
      </c>
      <c r="D200" s="241" t="str">
        <f>IFERROR(VLOOKUP(B200,法术大全!$A:$Y,4,FALSE),"")</f>
        <v/>
      </c>
      <c r="E200" s="239">
        <v>199</v>
      </c>
      <c r="F200" s="242" t="str">
        <f t="shared" si="10"/>
        <v/>
      </c>
    </row>
    <row r="201" spans="1:6" ht="16.5" customHeight="1" x14ac:dyDescent="0.25">
      <c r="A201" s="239">
        <v>200</v>
      </c>
      <c r="B201" s="240" t="str">
        <f>IF(法术书!AM52="","",法术书!AM52)</f>
        <v/>
      </c>
      <c r="C201" s="240" t="str">
        <f>IFERROR(VLOOKUP(B201,法术大全!$A:$Y,5,FALSE),"")</f>
        <v/>
      </c>
      <c r="D201" s="241" t="str">
        <f>IFERROR(VLOOKUP(B201,法术大全!$A:$Y,4,FALSE),"")</f>
        <v/>
      </c>
      <c r="E201" s="239">
        <v>200</v>
      </c>
      <c r="F201" s="242" t="str">
        <f t="shared" si="10"/>
        <v/>
      </c>
    </row>
    <row r="202" spans="1:6" ht="16.5" customHeight="1" x14ac:dyDescent="0.25">
      <c r="A202" s="239">
        <v>201</v>
      </c>
      <c r="B202" s="240" t="str">
        <f>IF(法术书!AR3="","",法术书!AR3)</f>
        <v/>
      </c>
      <c r="C202" s="240" t="str">
        <f>IFERROR(VLOOKUP(B202,法术大全!$A:$Y,5,FALSE),"")</f>
        <v/>
      </c>
      <c r="D202" s="241" t="str">
        <f>IFERROR(VLOOKUP(B202,法术大全!$A:$Y,4,FALSE),"")</f>
        <v/>
      </c>
      <c r="E202" s="239">
        <v>201</v>
      </c>
      <c r="F202" s="242" t="str">
        <f t="shared" si="10"/>
        <v/>
      </c>
    </row>
    <row r="203" spans="1:6" ht="16.5" customHeight="1" x14ac:dyDescent="0.25">
      <c r="A203" s="239">
        <v>202</v>
      </c>
      <c r="B203" s="240" t="str">
        <f>IF(法术书!AR4="","",法术书!AR4)</f>
        <v/>
      </c>
      <c r="C203" s="240" t="str">
        <f>IFERROR(VLOOKUP(B203,法术大全!$A:$Y,5,FALSE),"")</f>
        <v/>
      </c>
      <c r="D203" s="241" t="str">
        <f>IFERROR(VLOOKUP(B203,法术大全!$A:$Y,4,FALSE),"")</f>
        <v/>
      </c>
      <c r="E203" s="239">
        <v>202</v>
      </c>
      <c r="F203" s="242" t="str">
        <f t="shared" si="10"/>
        <v/>
      </c>
    </row>
    <row r="204" spans="1:6" ht="16.5" customHeight="1" x14ac:dyDescent="0.25">
      <c r="A204" s="239">
        <v>203</v>
      </c>
      <c r="B204" s="240" t="str">
        <f>IF(法术书!AR5="","",法术书!AR5)</f>
        <v/>
      </c>
      <c r="C204" s="240" t="str">
        <f>IFERROR(VLOOKUP(B204,法术大全!$A:$Y,5,FALSE),"")</f>
        <v/>
      </c>
      <c r="D204" s="241" t="str">
        <f>IFERROR(VLOOKUP(B204,法术大全!$A:$Y,4,FALSE),"")</f>
        <v/>
      </c>
      <c r="E204" s="239">
        <v>203</v>
      </c>
      <c r="F204" s="242" t="str">
        <f t="shared" si="10"/>
        <v/>
      </c>
    </row>
    <row r="205" spans="1:6" ht="16.5" customHeight="1" x14ac:dyDescent="0.25">
      <c r="A205" s="239">
        <v>204</v>
      </c>
      <c r="B205" s="240" t="str">
        <f>IF(法术书!AR6="","",法术书!AR6)</f>
        <v/>
      </c>
      <c r="C205" s="240" t="str">
        <f>IFERROR(VLOOKUP(B205,法术大全!$A:$Y,5,FALSE),"")</f>
        <v/>
      </c>
      <c r="D205" s="241" t="str">
        <f>IFERROR(VLOOKUP(B205,法术大全!$A:$Y,4,FALSE),"")</f>
        <v/>
      </c>
      <c r="E205" s="239">
        <v>204</v>
      </c>
      <c r="F205" s="242" t="str">
        <f t="shared" si="10"/>
        <v/>
      </c>
    </row>
    <row r="206" spans="1:6" ht="16.5" customHeight="1" x14ac:dyDescent="0.25">
      <c r="A206" s="239">
        <v>205</v>
      </c>
      <c r="B206" s="240" t="str">
        <f>IF(法术书!AR7="","",法术书!AR7)</f>
        <v/>
      </c>
      <c r="C206" s="240" t="str">
        <f>IFERROR(VLOOKUP(B206,法术大全!$A:$Y,5,FALSE),"")</f>
        <v/>
      </c>
      <c r="D206" s="241" t="str">
        <f>IFERROR(VLOOKUP(B206,法术大全!$A:$Y,4,FALSE),"")</f>
        <v/>
      </c>
      <c r="E206" s="239">
        <v>205</v>
      </c>
      <c r="F206" s="242" t="str">
        <f t="shared" ref="F206:F255" si="11">B206</f>
        <v/>
      </c>
    </row>
    <row r="207" spans="1:6" ht="16.5" customHeight="1" x14ac:dyDescent="0.25">
      <c r="A207" s="239">
        <v>206</v>
      </c>
      <c r="B207" s="240" t="str">
        <f>IF(法术书!AR8="","",法术书!AR8)</f>
        <v/>
      </c>
      <c r="C207" s="240" t="str">
        <f>IFERROR(VLOOKUP(B207,法术大全!$A:$Y,5,FALSE),"")</f>
        <v/>
      </c>
      <c r="D207" s="241" t="str">
        <f>IFERROR(VLOOKUP(B207,法术大全!$A:$Y,4,FALSE),"")</f>
        <v/>
      </c>
      <c r="E207" s="239">
        <v>206</v>
      </c>
      <c r="F207" s="242" t="str">
        <f t="shared" si="11"/>
        <v/>
      </c>
    </row>
    <row r="208" spans="1:6" ht="16.5" customHeight="1" x14ac:dyDescent="0.25">
      <c r="A208" s="239">
        <v>207</v>
      </c>
      <c r="B208" s="240" t="str">
        <f>IF(法术书!AR9="","",法术书!AR9)</f>
        <v/>
      </c>
      <c r="C208" s="240" t="str">
        <f>IFERROR(VLOOKUP(B208,法术大全!$A:$Y,5,FALSE),"")</f>
        <v/>
      </c>
      <c r="D208" s="241" t="str">
        <f>IFERROR(VLOOKUP(B208,法术大全!$A:$Y,4,FALSE),"")</f>
        <v/>
      </c>
      <c r="E208" s="239">
        <v>207</v>
      </c>
      <c r="F208" s="242" t="str">
        <f t="shared" si="11"/>
        <v/>
      </c>
    </row>
    <row r="209" spans="1:6" ht="16.5" customHeight="1" x14ac:dyDescent="0.25">
      <c r="A209" s="239">
        <v>208</v>
      </c>
      <c r="B209" s="240" t="str">
        <f>IF(法术书!AR10="","",法术书!AR10)</f>
        <v/>
      </c>
      <c r="C209" s="240" t="str">
        <f>IFERROR(VLOOKUP(B209,法术大全!$A:$Y,5,FALSE),"")</f>
        <v/>
      </c>
      <c r="D209" s="241" t="str">
        <f>IFERROR(VLOOKUP(B209,法术大全!$A:$Y,4,FALSE),"")</f>
        <v/>
      </c>
      <c r="E209" s="239">
        <v>208</v>
      </c>
      <c r="F209" s="242" t="str">
        <f t="shared" si="11"/>
        <v/>
      </c>
    </row>
    <row r="210" spans="1:6" ht="16.5" customHeight="1" x14ac:dyDescent="0.25">
      <c r="A210" s="239">
        <v>209</v>
      </c>
      <c r="B210" s="240" t="str">
        <f>IF(法术书!AR11="","",法术书!AR11)</f>
        <v/>
      </c>
      <c r="C210" s="240" t="str">
        <f>IFERROR(VLOOKUP(B210,法术大全!$A:$Y,5,FALSE),"")</f>
        <v/>
      </c>
      <c r="D210" s="241" t="str">
        <f>IFERROR(VLOOKUP(B210,法术大全!$A:$Y,4,FALSE),"")</f>
        <v/>
      </c>
      <c r="E210" s="239">
        <v>209</v>
      </c>
      <c r="F210" s="242" t="str">
        <f t="shared" si="11"/>
        <v/>
      </c>
    </row>
    <row r="211" spans="1:6" ht="16.5" customHeight="1" x14ac:dyDescent="0.25">
      <c r="A211" s="239">
        <v>210</v>
      </c>
      <c r="B211" s="240" t="str">
        <f>IF(法术书!AR12="","",法术书!AR12)</f>
        <v/>
      </c>
      <c r="C211" s="240" t="str">
        <f>IFERROR(VLOOKUP(B211,法术大全!$A:$Y,5,FALSE),"")</f>
        <v/>
      </c>
      <c r="D211" s="241" t="str">
        <f>IFERROR(VLOOKUP(B211,法术大全!$A:$Y,4,FALSE),"")</f>
        <v/>
      </c>
      <c r="E211" s="239">
        <v>210</v>
      </c>
      <c r="F211" s="242" t="str">
        <f t="shared" si="11"/>
        <v/>
      </c>
    </row>
    <row r="212" spans="1:6" ht="16.5" customHeight="1" x14ac:dyDescent="0.25">
      <c r="A212" s="239">
        <v>211</v>
      </c>
      <c r="B212" s="240" t="str">
        <f>IF(法术书!AR13="","",法术书!AR13)</f>
        <v/>
      </c>
      <c r="C212" s="240" t="str">
        <f>IFERROR(VLOOKUP(B212,法术大全!$A:$Y,5,FALSE),"")</f>
        <v/>
      </c>
      <c r="D212" s="241" t="str">
        <f>IFERROR(VLOOKUP(B212,法术大全!$A:$Y,4,FALSE),"")</f>
        <v/>
      </c>
      <c r="E212" s="239">
        <v>211</v>
      </c>
      <c r="F212" s="242" t="str">
        <f t="shared" si="11"/>
        <v/>
      </c>
    </row>
    <row r="213" spans="1:6" ht="16.5" customHeight="1" x14ac:dyDescent="0.25">
      <c r="A213" s="239">
        <v>212</v>
      </c>
      <c r="B213" s="240" t="str">
        <f>IF(法术书!AR14="","",法术书!AR14)</f>
        <v/>
      </c>
      <c r="C213" s="240" t="str">
        <f>IFERROR(VLOOKUP(B213,法术大全!$A:$Y,5,FALSE),"")</f>
        <v/>
      </c>
      <c r="D213" s="241" t="str">
        <f>IFERROR(VLOOKUP(B213,法术大全!$A:$Y,4,FALSE),"")</f>
        <v/>
      </c>
      <c r="E213" s="239">
        <v>212</v>
      </c>
      <c r="F213" s="242" t="str">
        <f t="shared" si="11"/>
        <v/>
      </c>
    </row>
    <row r="214" spans="1:6" ht="16.5" customHeight="1" x14ac:dyDescent="0.25">
      <c r="A214" s="239">
        <v>213</v>
      </c>
      <c r="B214" s="240" t="str">
        <f>IF(法术书!AR15="","",法术书!AR15)</f>
        <v/>
      </c>
      <c r="C214" s="240" t="str">
        <f>IFERROR(VLOOKUP(B214,法术大全!$A:$Y,5,FALSE),"")</f>
        <v/>
      </c>
      <c r="D214" s="241" t="str">
        <f>IFERROR(VLOOKUP(B214,法术大全!$A:$Y,4,FALSE),"")</f>
        <v/>
      </c>
      <c r="E214" s="239">
        <v>213</v>
      </c>
      <c r="F214" s="242" t="str">
        <f t="shared" si="11"/>
        <v/>
      </c>
    </row>
    <row r="215" spans="1:6" ht="16.5" customHeight="1" x14ac:dyDescent="0.25">
      <c r="A215" s="239">
        <v>214</v>
      </c>
      <c r="B215" s="240" t="str">
        <f>IF(法术书!AR16="","",法术书!AR16)</f>
        <v/>
      </c>
      <c r="C215" s="240" t="str">
        <f>IFERROR(VLOOKUP(B215,法术大全!$A:$Y,5,FALSE),"")</f>
        <v/>
      </c>
      <c r="D215" s="241" t="str">
        <f>IFERROR(VLOOKUP(B215,法术大全!$A:$Y,4,FALSE),"")</f>
        <v/>
      </c>
      <c r="E215" s="239">
        <v>214</v>
      </c>
      <c r="F215" s="242" t="str">
        <f t="shared" si="11"/>
        <v/>
      </c>
    </row>
    <row r="216" spans="1:6" ht="16.5" customHeight="1" x14ac:dyDescent="0.25">
      <c r="A216" s="239">
        <v>215</v>
      </c>
      <c r="B216" s="240" t="str">
        <f>IF(法术书!AR17="","",法术书!AR17)</f>
        <v/>
      </c>
      <c r="C216" s="240" t="str">
        <f>IFERROR(VLOOKUP(B216,法术大全!$A:$Y,5,FALSE),"")</f>
        <v/>
      </c>
      <c r="D216" s="241" t="str">
        <f>IFERROR(VLOOKUP(B216,法术大全!$A:$Y,4,FALSE),"")</f>
        <v/>
      </c>
      <c r="E216" s="239">
        <v>215</v>
      </c>
      <c r="F216" s="242" t="str">
        <f t="shared" si="11"/>
        <v/>
      </c>
    </row>
    <row r="217" spans="1:6" ht="16.5" customHeight="1" x14ac:dyDescent="0.25">
      <c r="A217" s="239">
        <v>216</v>
      </c>
      <c r="B217" s="240" t="str">
        <f>IF(法术书!AR18="","",法术书!AR18)</f>
        <v/>
      </c>
      <c r="C217" s="240" t="str">
        <f>IFERROR(VLOOKUP(B217,法术大全!$A:$Y,5,FALSE),"")</f>
        <v/>
      </c>
      <c r="D217" s="241" t="str">
        <f>IFERROR(VLOOKUP(B217,法术大全!$A:$Y,4,FALSE),"")</f>
        <v/>
      </c>
      <c r="E217" s="239">
        <v>216</v>
      </c>
      <c r="F217" s="242" t="str">
        <f t="shared" si="11"/>
        <v/>
      </c>
    </row>
    <row r="218" spans="1:6" ht="16.5" customHeight="1" x14ac:dyDescent="0.25">
      <c r="A218" s="239">
        <v>217</v>
      </c>
      <c r="B218" s="240" t="str">
        <f>IF(法术书!AR19="","",法术书!AR19)</f>
        <v/>
      </c>
      <c r="C218" s="240" t="str">
        <f>IFERROR(VLOOKUP(B218,法术大全!$A:$Y,5,FALSE),"")</f>
        <v/>
      </c>
      <c r="D218" s="241" t="str">
        <f>IFERROR(VLOOKUP(B218,法术大全!$A:$Y,4,FALSE),"")</f>
        <v/>
      </c>
      <c r="E218" s="239">
        <v>217</v>
      </c>
      <c r="F218" s="242" t="str">
        <f t="shared" si="11"/>
        <v/>
      </c>
    </row>
    <row r="219" spans="1:6" ht="16.5" customHeight="1" x14ac:dyDescent="0.25">
      <c r="A219" s="239">
        <v>218</v>
      </c>
      <c r="B219" s="240" t="str">
        <f>IF(法术书!AR20="","",法术书!AR20)</f>
        <v/>
      </c>
      <c r="C219" s="240" t="str">
        <f>IFERROR(VLOOKUP(B219,法术大全!$A:$Y,5,FALSE),"")</f>
        <v/>
      </c>
      <c r="D219" s="241" t="str">
        <f>IFERROR(VLOOKUP(B219,法术大全!$A:$Y,4,FALSE),"")</f>
        <v/>
      </c>
      <c r="E219" s="239">
        <v>218</v>
      </c>
      <c r="F219" s="242" t="str">
        <f t="shared" si="11"/>
        <v/>
      </c>
    </row>
    <row r="220" spans="1:6" ht="16.5" customHeight="1" x14ac:dyDescent="0.25">
      <c r="A220" s="239">
        <v>219</v>
      </c>
      <c r="B220" s="240" t="str">
        <f>IF(法术书!AR21="","",法术书!AR21)</f>
        <v/>
      </c>
      <c r="C220" s="240" t="str">
        <f>IFERROR(VLOOKUP(B220,法术大全!$A:$Y,5,FALSE),"")</f>
        <v/>
      </c>
      <c r="D220" s="241" t="str">
        <f>IFERROR(VLOOKUP(B220,法术大全!$A:$Y,4,FALSE),"")</f>
        <v/>
      </c>
      <c r="E220" s="239">
        <v>219</v>
      </c>
      <c r="F220" s="242" t="str">
        <f t="shared" si="11"/>
        <v/>
      </c>
    </row>
    <row r="221" spans="1:6" ht="16.5" customHeight="1" x14ac:dyDescent="0.25">
      <c r="A221" s="239">
        <v>220</v>
      </c>
      <c r="B221" s="240" t="str">
        <f>IF(法术书!AR22="","",法术书!AR22)</f>
        <v/>
      </c>
      <c r="C221" s="240" t="str">
        <f>IFERROR(VLOOKUP(B221,法术大全!$A:$Y,5,FALSE),"")</f>
        <v/>
      </c>
      <c r="D221" s="241" t="str">
        <f>IFERROR(VLOOKUP(B221,法术大全!$A:$Y,4,FALSE),"")</f>
        <v/>
      </c>
      <c r="E221" s="239">
        <v>220</v>
      </c>
      <c r="F221" s="242" t="str">
        <f t="shared" si="11"/>
        <v/>
      </c>
    </row>
    <row r="222" spans="1:6" ht="16.5" customHeight="1" x14ac:dyDescent="0.25">
      <c r="A222" s="239">
        <v>221</v>
      </c>
      <c r="B222" s="240" t="str">
        <f>IF(法术书!AR23="","",法术书!AR23)</f>
        <v/>
      </c>
      <c r="C222" s="240" t="str">
        <f>IFERROR(VLOOKUP(B222,法术大全!$A:$Y,5,FALSE),"")</f>
        <v/>
      </c>
      <c r="D222" s="241" t="str">
        <f>IFERROR(VLOOKUP(B222,法术大全!$A:$Y,4,FALSE),"")</f>
        <v/>
      </c>
      <c r="E222" s="239">
        <v>221</v>
      </c>
      <c r="F222" s="242" t="str">
        <f t="shared" si="11"/>
        <v/>
      </c>
    </row>
    <row r="223" spans="1:6" ht="16.5" customHeight="1" x14ac:dyDescent="0.25">
      <c r="A223" s="239">
        <v>222</v>
      </c>
      <c r="B223" s="240" t="str">
        <f>IF(法术书!AR24="","",法术书!AR24)</f>
        <v/>
      </c>
      <c r="C223" s="240" t="str">
        <f>IFERROR(VLOOKUP(B223,法术大全!$A:$Y,5,FALSE),"")</f>
        <v/>
      </c>
      <c r="D223" s="241" t="str">
        <f>IFERROR(VLOOKUP(B223,法术大全!$A:$Y,4,FALSE),"")</f>
        <v/>
      </c>
      <c r="E223" s="239">
        <v>222</v>
      </c>
      <c r="F223" s="242" t="str">
        <f t="shared" si="11"/>
        <v/>
      </c>
    </row>
    <row r="224" spans="1:6" ht="16.5" customHeight="1" x14ac:dyDescent="0.25">
      <c r="A224" s="239">
        <v>223</v>
      </c>
      <c r="B224" s="240" t="str">
        <f>IF(法术书!AR25="","",法术书!AR25)</f>
        <v/>
      </c>
      <c r="C224" s="240" t="str">
        <f>IFERROR(VLOOKUP(B224,法术大全!$A:$Y,5,FALSE),"")</f>
        <v/>
      </c>
      <c r="D224" s="241" t="str">
        <f>IFERROR(VLOOKUP(B224,法术大全!$A:$Y,4,FALSE),"")</f>
        <v/>
      </c>
      <c r="E224" s="239">
        <v>223</v>
      </c>
      <c r="F224" s="242" t="str">
        <f t="shared" si="11"/>
        <v/>
      </c>
    </row>
    <row r="225" spans="1:6" ht="16.5" customHeight="1" x14ac:dyDescent="0.25">
      <c r="A225" s="239">
        <v>224</v>
      </c>
      <c r="B225" s="240" t="str">
        <f>IF(法术书!AR26="","",法术书!AR26)</f>
        <v/>
      </c>
      <c r="C225" s="240" t="str">
        <f>IFERROR(VLOOKUP(B225,法术大全!$A:$Y,5,FALSE),"")</f>
        <v/>
      </c>
      <c r="D225" s="241" t="str">
        <f>IFERROR(VLOOKUP(B225,法术大全!$A:$Y,4,FALSE),"")</f>
        <v/>
      </c>
      <c r="E225" s="239">
        <v>224</v>
      </c>
      <c r="F225" s="242" t="str">
        <f t="shared" si="11"/>
        <v/>
      </c>
    </row>
    <row r="226" spans="1:6" ht="16.5" customHeight="1" x14ac:dyDescent="0.25">
      <c r="A226" s="239">
        <v>225</v>
      </c>
      <c r="B226" s="240" t="str">
        <f>IF(法术书!AR27="","",法术书!AR27)</f>
        <v/>
      </c>
      <c r="C226" s="240" t="str">
        <f>IFERROR(VLOOKUP(B226,法术大全!$A:$Y,5,FALSE),"")</f>
        <v/>
      </c>
      <c r="D226" s="241" t="str">
        <f>IFERROR(VLOOKUP(B226,法术大全!$A:$Y,4,FALSE),"")</f>
        <v/>
      </c>
      <c r="E226" s="239">
        <v>225</v>
      </c>
      <c r="F226" s="242" t="str">
        <f t="shared" si="11"/>
        <v/>
      </c>
    </row>
    <row r="227" spans="1:6" ht="16.5" customHeight="1" x14ac:dyDescent="0.25">
      <c r="A227" s="239">
        <v>226</v>
      </c>
      <c r="B227" s="240" t="str">
        <f>IF(法术书!AR28="","",法术书!AR28)</f>
        <v/>
      </c>
      <c r="C227" s="240" t="str">
        <f>IFERROR(VLOOKUP(B227,法术大全!$A:$Y,5,FALSE),"")</f>
        <v/>
      </c>
      <c r="D227" s="241" t="str">
        <f>IFERROR(VLOOKUP(B227,法术大全!$A:$Y,4,FALSE),"")</f>
        <v/>
      </c>
      <c r="E227" s="239">
        <v>226</v>
      </c>
      <c r="F227" s="242" t="str">
        <f t="shared" si="11"/>
        <v/>
      </c>
    </row>
    <row r="228" spans="1:6" ht="16.5" customHeight="1" x14ac:dyDescent="0.25">
      <c r="A228" s="239">
        <v>227</v>
      </c>
      <c r="B228" s="240" t="str">
        <f>IF(法术书!AR29="","",法术书!AR29)</f>
        <v/>
      </c>
      <c r="C228" s="240" t="str">
        <f>IFERROR(VLOOKUP(B228,法术大全!$A:$Y,5,FALSE),"")</f>
        <v/>
      </c>
      <c r="D228" s="241" t="str">
        <f>IFERROR(VLOOKUP(B228,法术大全!$A:$Y,4,FALSE),"")</f>
        <v/>
      </c>
      <c r="E228" s="239">
        <v>227</v>
      </c>
      <c r="F228" s="242" t="str">
        <f t="shared" si="11"/>
        <v/>
      </c>
    </row>
    <row r="229" spans="1:6" ht="16.5" customHeight="1" x14ac:dyDescent="0.25">
      <c r="A229" s="239">
        <v>228</v>
      </c>
      <c r="B229" s="240" t="str">
        <f>IF(法术书!AR30="","",法术书!AR30)</f>
        <v/>
      </c>
      <c r="C229" s="240" t="str">
        <f>IFERROR(VLOOKUP(B229,法术大全!$A:$Y,5,FALSE),"")</f>
        <v/>
      </c>
      <c r="D229" s="241" t="str">
        <f>IFERROR(VLOOKUP(B229,法术大全!$A:$Y,4,FALSE),"")</f>
        <v/>
      </c>
      <c r="E229" s="239">
        <v>228</v>
      </c>
      <c r="F229" s="242" t="str">
        <f t="shared" si="11"/>
        <v/>
      </c>
    </row>
    <row r="230" spans="1:6" ht="16.5" customHeight="1" x14ac:dyDescent="0.25">
      <c r="A230" s="239">
        <v>229</v>
      </c>
      <c r="B230" s="240" t="str">
        <f>IF(法术书!AR31="","",法术书!AR31)</f>
        <v/>
      </c>
      <c r="C230" s="240" t="str">
        <f>IFERROR(VLOOKUP(B230,法术大全!$A:$Y,5,FALSE),"")</f>
        <v/>
      </c>
      <c r="D230" s="241" t="str">
        <f>IFERROR(VLOOKUP(B230,法术大全!$A:$Y,4,FALSE),"")</f>
        <v/>
      </c>
      <c r="E230" s="239">
        <v>229</v>
      </c>
      <c r="F230" s="242" t="str">
        <f t="shared" si="11"/>
        <v/>
      </c>
    </row>
    <row r="231" spans="1:6" ht="16.5" customHeight="1" x14ac:dyDescent="0.25">
      <c r="A231" s="239">
        <v>230</v>
      </c>
      <c r="B231" s="240" t="str">
        <f>IF(法术书!AR32="","",法术书!AR32)</f>
        <v/>
      </c>
      <c r="C231" s="240" t="str">
        <f>IFERROR(VLOOKUP(B231,法术大全!$A:$Y,5,FALSE),"")</f>
        <v/>
      </c>
      <c r="D231" s="241" t="str">
        <f>IFERROR(VLOOKUP(B231,法术大全!$A:$Y,4,FALSE),"")</f>
        <v/>
      </c>
      <c r="E231" s="239">
        <v>230</v>
      </c>
      <c r="F231" s="242" t="str">
        <f t="shared" si="11"/>
        <v/>
      </c>
    </row>
    <row r="232" spans="1:6" ht="16.5" customHeight="1" x14ac:dyDescent="0.25">
      <c r="A232" s="239">
        <v>231</v>
      </c>
      <c r="B232" s="240" t="str">
        <f>IF(法术书!AR33="","",法术书!AR33)</f>
        <v/>
      </c>
      <c r="C232" s="240" t="str">
        <f>IFERROR(VLOOKUP(B232,法术大全!$A:$Y,5,FALSE),"")</f>
        <v/>
      </c>
      <c r="D232" s="241" t="str">
        <f>IFERROR(VLOOKUP(B232,法术大全!$A:$Y,4,FALSE),"")</f>
        <v/>
      </c>
      <c r="E232" s="239">
        <v>231</v>
      </c>
      <c r="F232" s="242" t="str">
        <f t="shared" si="11"/>
        <v/>
      </c>
    </row>
    <row r="233" spans="1:6" ht="16.5" customHeight="1" x14ac:dyDescent="0.25">
      <c r="A233" s="239">
        <v>232</v>
      </c>
      <c r="B233" s="240" t="str">
        <f>IF(法术书!AR34="","",法术书!AR34)</f>
        <v/>
      </c>
      <c r="C233" s="240" t="str">
        <f>IFERROR(VLOOKUP(B233,法术大全!$A:$Y,5,FALSE),"")</f>
        <v/>
      </c>
      <c r="D233" s="241" t="str">
        <f>IFERROR(VLOOKUP(B233,法术大全!$A:$Y,4,FALSE),"")</f>
        <v/>
      </c>
      <c r="E233" s="239">
        <v>232</v>
      </c>
      <c r="F233" s="242" t="str">
        <f t="shared" si="11"/>
        <v/>
      </c>
    </row>
    <row r="234" spans="1:6" ht="16.5" customHeight="1" x14ac:dyDescent="0.25">
      <c r="A234" s="239">
        <v>233</v>
      </c>
      <c r="B234" s="240" t="str">
        <f>IF(法术书!AR35="","",法术书!AR35)</f>
        <v/>
      </c>
      <c r="C234" s="240" t="str">
        <f>IFERROR(VLOOKUP(B234,法术大全!$A:$Y,5,FALSE),"")</f>
        <v/>
      </c>
      <c r="D234" s="241" t="str">
        <f>IFERROR(VLOOKUP(B234,法术大全!$A:$Y,4,FALSE),"")</f>
        <v/>
      </c>
      <c r="E234" s="239">
        <v>233</v>
      </c>
      <c r="F234" s="242" t="str">
        <f t="shared" si="11"/>
        <v/>
      </c>
    </row>
    <row r="235" spans="1:6" ht="16.5" customHeight="1" x14ac:dyDescent="0.25">
      <c r="A235" s="239">
        <v>234</v>
      </c>
      <c r="B235" s="240" t="str">
        <f>IF(法术书!AR36="","",法术书!AR36)</f>
        <v/>
      </c>
      <c r="C235" s="240" t="str">
        <f>IFERROR(VLOOKUP(B235,法术大全!$A:$Y,5,FALSE),"")</f>
        <v/>
      </c>
      <c r="D235" s="241" t="str">
        <f>IFERROR(VLOOKUP(B235,法术大全!$A:$Y,4,FALSE),"")</f>
        <v/>
      </c>
      <c r="E235" s="239">
        <v>234</v>
      </c>
      <c r="F235" s="242" t="str">
        <f t="shared" si="11"/>
        <v/>
      </c>
    </row>
    <row r="236" spans="1:6" ht="16.5" customHeight="1" x14ac:dyDescent="0.25">
      <c r="A236" s="239">
        <v>235</v>
      </c>
      <c r="B236" s="240" t="str">
        <f>IF(法术书!AR37="","",法术书!AR37)</f>
        <v/>
      </c>
      <c r="C236" s="240" t="str">
        <f>IFERROR(VLOOKUP(B236,法术大全!$A:$Y,5,FALSE),"")</f>
        <v/>
      </c>
      <c r="D236" s="241" t="str">
        <f>IFERROR(VLOOKUP(B236,法术大全!$A:$Y,4,FALSE),"")</f>
        <v/>
      </c>
      <c r="E236" s="239">
        <v>235</v>
      </c>
      <c r="F236" s="242" t="str">
        <f t="shared" si="11"/>
        <v/>
      </c>
    </row>
    <row r="237" spans="1:6" ht="16.5" customHeight="1" x14ac:dyDescent="0.25">
      <c r="A237" s="239">
        <v>236</v>
      </c>
      <c r="B237" s="240" t="str">
        <f>IF(法术书!AR38="","",法术书!AR38)</f>
        <v/>
      </c>
      <c r="C237" s="240" t="str">
        <f>IFERROR(VLOOKUP(B237,法术大全!$A:$Y,5,FALSE),"")</f>
        <v/>
      </c>
      <c r="D237" s="241" t="str">
        <f>IFERROR(VLOOKUP(B237,法术大全!$A:$Y,4,FALSE),"")</f>
        <v/>
      </c>
      <c r="E237" s="239">
        <v>236</v>
      </c>
      <c r="F237" s="242" t="str">
        <f t="shared" si="11"/>
        <v/>
      </c>
    </row>
    <row r="238" spans="1:6" ht="16.5" customHeight="1" x14ac:dyDescent="0.25">
      <c r="A238" s="239">
        <v>237</v>
      </c>
      <c r="B238" s="240" t="str">
        <f>IF(法术书!AR39="","",法术书!AR39)</f>
        <v/>
      </c>
      <c r="C238" s="240" t="str">
        <f>IFERROR(VLOOKUP(B238,法术大全!$A:$Y,5,FALSE),"")</f>
        <v/>
      </c>
      <c r="D238" s="241" t="str">
        <f>IFERROR(VLOOKUP(B238,法术大全!$A:$Y,4,FALSE),"")</f>
        <v/>
      </c>
      <c r="E238" s="239">
        <v>237</v>
      </c>
      <c r="F238" s="242" t="str">
        <f t="shared" si="11"/>
        <v/>
      </c>
    </row>
    <row r="239" spans="1:6" ht="16.5" customHeight="1" x14ac:dyDescent="0.25">
      <c r="A239" s="239">
        <v>238</v>
      </c>
      <c r="B239" s="240" t="str">
        <f>IF(法术书!AR40="","",法术书!AR40)</f>
        <v/>
      </c>
      <c r="C239" s="240" t="str">
        <f>IFERROR(VLOOKUP(B239,法术大全!$A:$Y,5,FALSE),"")</f>
        <v/>
      </c>
      <c r="D239" s="241" t="str">
        <f>IFERROR(VLOOKUP(B239,法术大全!$A:$Y,4,FALSE),"")</f>
        <v/>
      </c>
      <c r="E239" s="239">
        <v>238</v>
      </c>
      <c r="F239" s="242" t="str">
        <f t="shared" si="11"/>
        <v/>
      </c>
    </row>
    <row r="240" spans="1:6" ht="16.5" customHeight="1" x14ac:dyDescent="0.25">
      <c r="A240" s="239">
        <v>239</v>
      </c>
      <c r="B240" s="240" t="str">
        <f>IF(法术书!AR41="","",法术书!AR41)</f>
        <v/>
      </c>
      <c r="C240" s="240" t="str">
        <f>IFERROR(VLOOKUP(B240,法术大全!$A:$Y,5,FALSE),"")</f>
        <v/>
      </c>
      <c r="D240" s="241" t="str">
        <f>IFERROR(VLOOKUP(B240,法术大全!$A:$Y,4,FALSE),"")</f>
        <v/>
      </c>
      <c r="E240" s="239">
        <v>239</v>
      </c>
      <c r="F240" s="242" t="str">
        <f t="shared" si="11"/>
        <v/>
      </c>
    </row>
    <row r="241" spans="1:6" ht="16.5" customHeight="1" x14ac:dyDescent="0.25">
      <c r="A241" s="239">
        <v>240</v>
      </c>
      <c r="B241" s="240" t="str">
        <f>IF(法术书!AR42="","",法术书!AR42)</f>
        <v/>
      </c>
      <c r="C241" s="240" t="str">
        <f>IFERROR(VLOOKUP(B241,法术大全!$A:$Y,5,FALSE),"")</f>
        <v/>
      </c>
      <c r="D241" s="241" t="str">
        <f>IFERROR(VLOOKUP(B241,法术大全!$A:$Y,4,FALSE),"")</f>
        <v/>
      </c>
      <c r="E241" s="239">
        <v>240</v>
      </c>
      <c r="F241" s="242" t="str">
        <f t="shared" si="11"/>
        <v/>
      </c>
    </row>
    <row r="242" spans="1:6" ht="16.5" customHeight="1" x14ac:dyDescent="0.25">
      <c r="A242" s="239">
        <v>241</v>
      </c>
      <c r="B242" s="240" t="str">
        <f>IF(法术书!AR43="","",法术书!AR43)</f>
        <v/>
      </c>
      <c r="C242" s="240" t="str">
        <f>IFERROR(VLOOKUP(B242,法术大全!$A:$Y,5,FALSE),"")</f>
        <v/>
      </c>
      <c r="D242" s="241" t="str">
        <f>IFERROR(VLOOKUP(B242,法术大全!$A:$Y,4,FALSE),"")</f>
        <v/>
      </c>
      <c r="E242" s="239">
        <v>241</v>
      </c>
      <c r="F242" s="242" t="str">
        <f t="shared" si="11"/>
        <v/>
      </c>
    </row>
    <row r="243" spans="1:6" ht="16.5" customHeight="1" x14ac:dyDescent="0.25">
      <c r="A243" s="239">
        <v>242</v>
      </c>
      <c r="B243" s="240" t="str">
        <f>IF(法术书!AR44="","",法术书!AR44)</f>
        <v/>
      </c>
      <c r="C243" s="240" t="str">
        <f>IFERROR(VLOOKUP(B243,法术大全!$A:$Y,5,FALSE),"")</f>
        <v/>
      </c>
      <c r="D243" s="241" t="str">
        <f>IFERROR(VLOOKUP(B243,法术大全!$A:$Y,4,FALSE),"")</f>
        <v/>
      </c>
      <c r="E243" s="239">
        <v>242</v>
      </c>
      <c r="F243" s="242" t="str">
        <f t="shared" si="11"/>
        <v/>
      </c>
    </row>
    <row r="244" spans="1:6" ht="16.5" customHeight="1" x14ac:dyDescent="0.25">
      <c r="A244" s="239">
        <v>243</v>
      </c>
      <c r="B244" s="240" t="str">
        <f>IF(法术书!AR45="","",法术书!AR45)</f>
        <v/>
      </c>
      <c r="C244" s="240" t="str">
        <f>IFERROR(VLOOKUP(B244,法术大全!$A:$Y,5,FALSE),"")</f>
        <v/>
      </c>
      <c r="D244" s="241" t="str">
        <f>IFERROR(VLOOKUP(B244,法术大全!$A:$Y,4,FALSE),"")</f>
        <v/>
      </c>
      <c r="E244" s="239">
        <v>243</v>
      </c>
      <c r="F244" s="242" t="str">
        <f t="shared" si="11"/>
        <v/>
      </c>
    </row>
    <row r="245" spans="1:6" ht="16.5" customHeight="1" x14ac:dyDescent="0.25">
      <c r="A245" s="239">
        <v>244</v>
      </c>
      <c r="B245" s="240" t="str">
        <f>IF(法术书!AR46="","",法术书!AR46)</f>
        <v/>
      </c>
      <c r="C245" s="240" t="str">
        <f>IFERROR(VLOOKUP(B245,法术大全!$A:$Y,5,FALSE),"")</f>
        <v/>
      </c>
      <c r="D245" s="241" t="str">
        <f>IFERROR(VLOOKUP(B245,法术大全!$A:$Y,4,FALSE),"")</f>
        <v/>
      </c>
      <c r="E245" s="239">
        <v>244</v>
      </c>
      <c r="F245" s="242" t="str">
        <f t="shared" si="11"/>
        <v/>
      </c>
    </row>
    <row r="246" spans="1:6" ht="16.5" customHeight="1" x14ac:dyDescent="0.25">
      <c r="A246" s="239">
        <v>245</v>
      </c>
      <c r="B246" s="240" t="str">
        <f>IF(法术书!AR47="","",法术书!AR47)</f>
        <v/>
      </c>
      <c r="C246" s="240" t="str">
        <f>IFERROR(VLOOKUP(B246,法术大全!$A:$Y,5,FALSE),"")</f>
        <v/>
      </c>
      <c r="D246" s="241" t="str">
        <f>IFERROR(VLOOKUP(B246,法术大全!$A:$Y,4,FALSE),"")</f>
        <v/>
      </c>
      <c r="E246" s="239">
        <v>245</v>
      </c>
      <c r="F246" s="242" t="str">
        <f t="shared" si="11"/>
        <v/>
      </c>
    </row>
    <row r="247" spans="1:6" ht="16.5" customHeight="1" x14ac:dyDescent="0.25">
      <c r="A247" s="239">
        <v>246</v>
      </c>
      <c r="B247" s="240" t="str">
        <f>IF(法术书!AR48="","",法术书!AR48)</f>
        <v/>
      </c>
      <c r="C247" s="240" t="str">
        <f>IFERROR(VLOOKUP(B247,法术大全!$A:$Y,5,FALSE),"")</f>
        <v/>
      </c>
      <c r="D247" s="241" t="str">
        <f>IFERROR(VLOOKUP(B247,法术大全!$A:$Y,4,FALSE),"")</f>
        <v/>
      </c>
      <c r="E247" s="239">
        <v>246</v>
      </c>
      <c r="F247" s="242" t="str">
        <f t="shared" si="11"/>
        <v/>
      </c>
    </row>
    <row r="248" spans="1:6" ht="16.5" customHeight="1" x14ac:dyDescent="0.25">
      <c r="A248" s="239">
        <v>247</v>
      </c>
      <c r="B248" s="240" t="str">
        <f>IF(法术书!AR49="","",法术书!AR49)</f>
        <v/>
      </c>
      <c r="C248" s="240" t="str">
        <f>IFERROR(VLOOKUP(B248,法术大全!$A:$Y,5,FALSE),"")</f>
        <v/>
      </c>
      <c r="D248" s="241" t="str">
        <f>IFERROR(VLOOKUP(B248,法术大全!$A:$Y,4,FALSE),"")</f>
        <v/>
      </c>
      <c r="E248" s="239">
        <v>247</v>
      </c>
      <c r="F248" s="242" t="str">
        <f t="shared" si="11"/>
        <v/>
      </c>
    </row>
    <row r="249" spans="1:6" ht="16.5" customHeight="1" x14ac:dyDescent="0.25">
      <c r="A249" s="239">
        <v>248</v>
      </c>
      <c r="B249" s="240" t="str">
        <f>IF(法术书!AR50="","",法术书!AR50)</f>
        <v/>
      </c>
      <c r="C249" s="240" t="str">
        <f>IFERROR(VLOOKUP(B249,法术大全!$A:$Y,5,FALSE),"")</f>
        <v/>
      </c>
      <c r="D249" s="241" t="str">
        <f>IFERROR(VLOOKUP(B249,法术大全!$A:$Y,4,FALSE),"")</f>
        <v/>
      </c>
      <c r="E249" s="239">
        <v>248</v>
      </c>
      <c r="F249" s="242" t="str">
        <f t="shared" si="11"/>
        <v/>
      </c>
    </row>
    <row r="250" spans="1:6" ht="16.5" customHeight="1" x14ac:dyDescent="0.25">
      <c r="A250" s="239">
        <v>249</v>
      </c>
      <c r="B250" s="240" t="str">
        <f>IF(法术书!AR51="","",法术书!AR51)</f>
        <v/>
      </c>
      <c r="C250" s="240" t="str">
        <f>IFERROR(VLOOKUP(B250,法术大全!$A:$Y,5,FALSE),"")</f>
        <v/>
      </c>
      <c r="D250" s="241" t="str">
        <f>IFERROR(VLOOKUP(B250,法术大全!$A:$Y,4,FALSE),"")</f>
        <v/>
      </c>
      <c r="E250" s="239">
        <v>249</v>
      </c>
      <c r="F250" s="242" t="str">
        <f t="shared" si="11"/>
        <v/>
      </c>
    </row>
    <row r="251" spans="1:6" ht="16.5" customHeight="1" x14ac:dyDescent="0.25">
      <c r="A251" s="239">
        <v>250</v>
      </c>
      <c r="B251" s="240" t="str">
        <f>IF(法术书!AR52="","",法术书!AR52)</f>
        <v/>
      </c>
      <c r="C251" s="240" t="str">
        <f>IFERROR(VLOOKUP(B251,法术大全!$A:$Y,5,FALSE),"")</f>
        <v/>
      </c>
      <c r="D251" s="241" t="str">
        <f>IFERROR(VLOOKUP(B251,法术大全!$A:$Y,4,FALSE),"")</f>
        <v/>
      </c>
      <c r="E251" s="239">
        <v>250</v>
      </c>
      <c r="F251" s="242" t="str">
        <f t="shared" si="11"/>
        <v/>
      </c>
    </row>
    <row r="252" spans="1:6" ht="16.5" customHeight="1" x14ac:dyDescent="0.25">
      <c r="A252" s="239">
        <v>251</v>
      </c>
      <c r="B252" s="240" t="str">
        <f>IF(法术书!AW3="","",法术书!AW3)</f>
        <v/>
      </c>
      <c r="C252" s="240" t="str">
        <f>IFERROR(VLOOKUP(B252,法术大全!$A:$Y,5,FALSE),"")</f>
        <v/>
      </c>
      <c r="D252" s="241" t="str">
        <f>IFERROR(VLOOKUP(B252,法术大全!$A:$Y,4,FALSE),"")</f>
        <v/>
      </c>
      <c r="E252" s="239">
        <v>251</v>
      </c>
      <c r="F252" s="242" t="str">
        <f t="shared" si="11"/>
        <v/>
      </c>
    </row>
    <row r="253" spans="1:6" ht="16.5" customHeight="1" x14ac:dyDescent="0.25">
      <c r="A253" s="239">
        <v>252</v>
      </c>
      <c r="B253" s="240" t="str">
        <f>IF(法术书!AW4="","",法术书!AW4)</f>
        <v/>
      </c>
      <c r="C253" s="240" t="str">
        <f>IFERROR(VLOOKUP(B253,法术大全!$A:$Y,5,FALSE),"")</f>
        <v/>
      </c>
      <c r="D253" s="241" t="str">
        <f>IFERROR(VLOOKUP(B253,法术大全!$A:$Y,4,FALSE),"")</f>
        <v/>
      </c>
      <c r="E253" s="239">
        <v>252</v>
      </c>
      <c r="F253" s="242" t="str">
        <f t="shared" si="11"/>
        <v/>
      </c>
    </row>
    <row r="254" spans="1:6" ht="16.5" customHeight="1" x14ac:dyDescent="0.25">
      <c r="A254" s="239">
        <v>253</v>
      </c>
      <c r="B254" s="240" t="str">
        <f>IF(法术书!AW5="","",法术书!AW5)</f>
        <v/>
      </c>
      <c r="C254" s="240" t="str">
        <f>IFERROR(VLOOKUP(B254,法术大全!$A:$Y,5,FALSE),"")</f>
        <v/>
      </c>
      <c r="D254" s="241" t="str">
        <f>IFERROR(VLOOKUP(B254,法术大全!$A:$Y,4,FALSE),"")</f>
        <v/>
      </c>
      <c r="E254" s="239">
        <v>253</v>
      </c>
      <c r="F254" s="242" t="str">
        <f t="shared" si="11"/>
        <v/>
      </c>
    </row>
    <row r="255" spans="1:6" ht="16.5" customHeight="1" x14ac:dyDescent="0.25">
      <c r="A255" s="239">
        <v>254</v>
      </c>
      <c r="B255" s="240" t="str">
        <f>IF(法术书!AW6="","",法术书!AW6)</f>
        <v/>
      </c>
      <c r="C255" s="240" t="str">
        <f>IFERROR(VLOOKUP(B255,法术大全!$A:$Y,5,FALSE),"")</f>
        <v/>
      </c>
      <c r="D255" s="241" t="str">
        <f>IFERROR(VLOOKUP(B255,法术大全!$A:$Y,4,FALSE),"")</f>
        <v/>
      </c>
      <c r="E255" s="239">
        <v>254</v>
      </c>
      <c r="F255" s="242" t="str">
        <f t="shared" si="11"/>
        <v/>
      </c>
    </row>
    <row r="256" spans="1:6" ht="16.5" customHeight="1" x14ac:dyDescent="0.25">
      <c r="A256" s="239">
        <v>255</v>
      </c>
      <c r="B256" s="240" t="str">
        <f>IF(法术书!AW7="","",法术书!AW7)</f>
        <v/>
      </c>
      <c r="C256" s="240" t="str">
        <f>IFERROR(VLOOKUP(B256,法术大全!$A:$Y,5,FALSE),"")</f>
        <v/>
      </c>
      <c r="D256" s="241" t="str">
        <f>IFERROR(VLOOKUP(B256,法术大全!$A:$Y,4,FALSE),"")</f>
        <v/>
      </c>
      <c r="E256" s="239">
        <v>255</v>
      </c>
      <c r="F256" s="242" t="str">
        <f t="shared" ref="F256:F301" si="12">B256</f>
        <v/>
      </c>
    </row>
    <row r="257" spans="1:6" ht="16.5" customHeight="1" x14ac:dyDescent="0.25">
      <c r="A257" s="239">
        <v>256</v>
      </c>
      <c r="B257" s="240" t="str">
        <f>IF(法术书!AW8="","",法术书!AW8)</f>
        <v/>
      </c>
      <c r="C257" s="240" t="str">
        <f>IFERROR(VLOOKUP(B257,法术大全!$A:$Y,5,FALSE),"")</f>
        <v/>
      </c>
      <c r="D257" s="241" t="str">
        <f>IFERROR(VLOOKUP(B257,法术大全!$A:$Y,4,FALSE),"")</f>
        <v/>
      </c>
      <c r="E257" s="239">
        <v>256</v>
      </c>
      <c r="F257" s="242" t="str">
        <f t="shared" si="12"/>
        <v/>
      </c>
    </row>
    <row r="258" spans="1:6" ht="16.5" customHeight="1" x14ac:dyDescent="0.25">
      <c r="A258" s="239">
        <v>257</v>
      </c>
      <c r="B258" s="240" t="str">
        <f>IF(法术书!AW9="","",法术书!AW9)</f>
        <v/>
      </c>
      <c r="C258" s="240" t="str">
        <f>IFERROR(VLOOKUP(B258,法术大全!$A:$Y,5,FALSE),"")</f>
        <v/>
      </c>
      <c r="D258" s="241" t="str">
        <f>IFERROR(VLOOKUP(B258,法术大全!$A:$Y,4,FALSE),"")</f>
        <v/>
      </c>
      <c r="E258" s="239">
        <v>257</v>
      </c>
      <c r="F258" s="242" t="str">
        <f t="shared" si="12"/>
        <v/>
      </c>
    </row>
    <row r="259" spans="1:6" ht="16.5" customHeight="1" x14ac:dyDescent="0.25">
      <c r="A259" s="239">
        <v>258</v>
      </c>
      <c r="B259" s="240" t="str">
        <f>IF(法术书!AW10="","",法术书!AW10)</f>
        <v/>
      </c>
      <c r="C259" s="240" t="str">
        <f>IFERROR(VLOOKUP(B259,法术大全!$A:$Y,5,FALSE),"")</f>
        <v/>
      </c>
      <c r="D259" s="241" t="str">
        <f>IFERROR(VLOOKUP(B259,法术大全!$A:$Y,4,FALSE),"")</f>
        <v/>
      </c>
      <c r="E259" s="239">
        <v>258</v>
      </c>
      <c r="F259" s="242" t="str">
        <f t="shared" si="12"/>
        <v/>
      </c>
    </row>
    <row r="260" spans="1:6" ht="16.5" customHeight="1" x14ac:dyDescent="0.25">
      <c r="A260" s="239">
        <v>259</v>
      </c>
      <c r="B260" s="240" t="str">
        <f>IF(法术书!AW11="","",法术书!AW11)</f>
        <v/>
      </c>
      <c r="C260" s="240" t="str">
        <f>IFERROR(VLOOKUP(B260,法术大全!$A:$Y,5,FALSE),"")</f>
        <v/>
      </c>
      <c r="D260" s="241" t="str">
        <f>IFERROR(VLOOKUP(B260,法术大全!$A:$Y,4,FALSE),"")</f>
        <v/>
      </c>
      <c r="E260" s="239">
        <v>259</v>
      </c>
      <c r="F260" s="242" t="str">
        <f t="shared" si="12"/>
        <v/>
      </c>
    </row>
    <row r="261" spans="1:6" ht="16.5" customHeight="1" x14ac:dyDescent="0.25">
      <c r="A261" s="239">
        <v>260</v>
      </c>
      <c r="B261" s="240" t="str">
        <f>IF(法术书!AW12="","",法术书!AW12)</f>
        <v/>
      </c>
      <c r="C261" s="240" t="str">
        <f>IFERROR(VLOOKUP(B261,法术大全!$A:$Y,5,FALSE),"")</f>
        <v/>
      </c>
      <c r="D261" s="241" t="str">
        <f>IFERROR(VLOOKUP(B261,法术大全!$A:$Y,4,FALSE),"")</f>
        <v/>
      </c>
      <c r="E261" s="239">
        <v>260</v>
      </c>
      <c r="F261" s="242" t="str">
        <f t="shared" si="12"/>
        <v/>
      </c>
    </row>
    <row r="262" spans="1:6" ht="16.5" customHeight="1" x14ac:dyDescent="0.25">
      <c r="A262" s="239">
        <v>261</v>
      </c>
      <c r="B262" s="240" t="str">
        <f>IF(法术书!AW13="","",法术书!AW13)</f>
        <v/>
      </c>
      <c r="C262" s="240" t="str">
        <f>IFERROR(VLOOKUP(B262,法术大全!$A:$Y,5,FALSE),"")</f>
        <v/>
      </c>
      <c r="D262" s="241" t="str">
        <f>IFERROR(VLOOKUP(B262,法术大全!$A:$Y,4,FALSE),"")</f>
        <v/>
      </c>
      <c r="E262" s="239">
        <v>261</v>
      </c>
      <c r="F262" s="242" t="str">
        <f t="shared" si="12"/>
        <v/>
      </c>
    </row>
    <row r="263" spans="1:6" ht="16.5" customHeight="1" x14ac:dyDescent="0.25">
      <c r="A263" s="239">
        <v>262</v>
      </c>
      <c r="B263" s="240" t="str">
        <f>IF(法术书!AW14="","",法术书!AW14)</f>
        <v/>
      </c>
      <c r="C263" s="240" t="str">
        <f>IFERROR(VLOOKUP(B263,法术大全!$A:$Y,5,FALSE),"")</f>
        <v/>
      </c>
      <c r="D263" s="241" t="str">
        <f>IFERROR(VLOOKUP(B263,法术大全!$A:$Y,4,FALSE),"")</f>
        <v/>
      </c>
      <c r="E263" s="239">
        <v>262</v>
      </c>
      <c r="F263" s="242" t="str">
        <f t="shared" si="12"/>
        <v/>
      </c>
    </row>
    <row r="264" spans="1:6" ht="16.5" customHeight="1" x14ac:dyDescent="0.25">
      <c r="A264" s="239">
        <v>263</v>
      </c>
      <c r="B264" s="240" t="str">
        <f>IF(法术书!AW15="","",法术书!AW15)</f>
        <v/>
      </c>
      <c r="C264" s="240" t="str">
        <f>IFERROR(VLOOKUP(B264,法术大全!$A:$Y,5,FALSE),"")</f>
        <v/>
      </c>
      <c r="D264" s="241" t="str">
        <f>IFERROR(VLOOKUP(B264,法术大全!$A:$Y,4,FALSE),"")</f>
        <v/>
      </c>
      <c r="E264" s="239">
        <v>263</v>
      </c>
      <c r="F264" s="242" t="str">
        <f t="shared" si="12"/>
        <v/>
      </c>
    </row>
    <row r="265" spans="1:6" ht="16.5" customHeight="1" x14ac:dyDescent="0.25">
      <c r="A265" s="239">
        <v>264</v>
      </c>
      <c r="B265" s="240" t="str">
        <f>IF(法术书!AW16="","",法术书!AW16)</f>
        <v/>
      </c>
      <c r="C265" s="240" t="str">
        <f>IFERROR(VLOOKUP(B265,法术大全!$A:$Y,5,FALSE),"")</f>
        <v/>
      </c>
      <c r="D265" s="241" t="str">
        <f>IFERROR(VLOOKUP(B265,法术大全!$A:$Y,4,FALSE),"")</f>
        <v/>
      </c>
      <c r="E265" s="239">
        <v>264</v>
      </c>
      <c r="F265" s="242" t="str">
        <f t="shared" si="12"/>
        <v/>
      </c>
    </row>
    <row r="266" spans="1:6" ht="16.5" customHeight="1" x14ac:dyDescent="0.25">
      <c r="A266" s="239">
        <v>265</v>
      </c>
      <c r="B266" s="240" t="str">
        <f>IF(法术书!AW17="","",法术书!AW17)</f>
        <v/>
      </c>
      <c r="C266" s="240" t="str">
        <f>IFERROR(VLOOKUP(B266,法术大全!$A:$Y,5,FALSE),"")</f>
        <v/>
      </c>
      <c r="D266" s="241" t="str">
        <f>IFERROR(VLOOKUP(B266,法术大全!$A:$Y,4,FALSE),"")</f>
        <v/>
      </c>
      <c r="E266" s="239">
        <v>265</v>
      </c>
      <c r="F266" s="242" t="str">
        <f t="shared" si="12"/>
        <v/>
      </c>
    </row>
    <row r="267" spans="1:6" ht="16.5" customHeight="1" x14ac:dyDescent="0.25">
      <c r="A267" s="239">
        <v>266</v>
      </c>
      <c r="B267" s="240" t="str">
        <f>IF(法术书!AW18="","",法术书!AW18)</f>
        <v/>
      </c>
      <c r="C267" s="240" t="str">
        <f>IFERROR(VLOOKUP(B267,法术大全!$A:$Y,5,FALSE),"")</f>
        <v/>
      </c>
      <c r="D267" s="241" t="str">
        <f>IFERROR(VLOOKUP(B267,法术大全!$A:$Y,4,FALSE),"")</f>
        <v/>
      </c>
      <c r="E267" s="239">
        <v>266</v>
      </c>
      <c r="F267" s="242" t="str">
        <f t="shared" si="12"/>
        <v/>
      </c>
    </row>
    <row r="268" spans="1:6" ht="16.5" customHeight="1" x14ac:dyDescent="0.25">
      <c r="A268" s="239">
        <v>267</v>
      </c>
      <c r="B268" s="240" t="str">
        <f>IF(法术书!AW19="","",法术书!AW19)</f>
        <v/>
      </c>
      <c r="C268" s="240" t="str">
        <f>IFERROR(VLOOKUP(B268,法术大全!$A:$Y,5,FALSE),"")</f>
        <v/>
      </c>
      <c r="D268" s="241" t="str">
        <f>IFERROR(VLOOKUP(B268,法术大全!$A:$Y,4,FALSE),"")</f>
        <v/>
      </c>
      <c r="E268" s="239">
        <v>267</v>
      </c>
      <c r="F268" s="242" t="str">
        <f t="shared" si="12"/>
        <v/>
      </c>
    </row>
    <row r="269" spans="1:6" ht="16.5" customHeight="1" x14ac:dyDescent="0.25">
      <c r="A269" s="239">
        <v>268</v>
      </c>
      <c r="B269" s="240" t="str">
        <f>IF(法术书!AW20="","",法术书!AW20)</f>
        <v/>
      </c>
      <c r="C269" s="240" t="str">
        <f>IFERROR(VLOOKUP(B269,法术大全!$A:$Y,5,FALSE),"")</f>
        <v/>
      </c>
      <c r="D269" s="241" t="str">
        <f>IFERROR(VLOOKUP(B269,法术大全!$A:$Y,4,FALSE),"")</f>
        <v/>
      </c>
      <c r="E269" s="239">
        <v>268</v>
      </c>
      <c r="F269" s="242" t="str">
        <f t="shared" si="12"/>
        <v/>
      </c>
    </row>
    <row r="270" spans="1:6" ht="16.5" customHeight="1" x14ac:dyDescent="0.25">
      <c r="A270" s="239">
        <v>269</v>
      </c>
      <c r="B270" s="240" t="str">
        <f>IF(法术书!AW21="","",法术书!AW21)</f>
        <v/>
      </c>
      <c r="C270" s="240" t="str">
        <f>IFERROR(VLOOKUP(B270,法术大全!$A:$Y,5,FALSE),"")</f>
        <v/>
      </c>
      <c r="D270" s="241" t="str">
        <f>IFERROR(VLOOKUP(B270,法术大全!$A:$Y,4,FALSE),"")</f>
        <v/>
      </c>
      <c r="E270" s="239">
        <v>269</v>
      </c>
      <c r="F270" s="242" t="str">
        <f t="shared" si="12"/>
        <v/>
      </c>
    </row>
    <row r="271" spans="1:6" ht="16.5" customHeight="1" x14ac:dyDescent="0.25">
      <c r="A271" s="239">
        <v>270</v>
      </c>
      <c r="B271" s="240" t="str">
        <f>IF(法术书!AW22="","",法术书!AW22)</f>
        <v/>
      </c>
      <c r="C271" s="240" t="str">
        <f>IFERROR(VLOOKUP(B271,法术大全!$A:$Y,5,FALSE),"")</f>
        <v/>
      </c>
      <c r="D271" s="241" t="str">
        <f>IFERROR(VLOOKUP(B271,法术大全!$A:$Y,4,FALSE),"")</f>
        <v/>
      </c>
      <c r="E271" s="239">
        <v>270</v>
      </c>
      <c r="F271" s="242" t="str">
        <f t="shared" si="12"/>
        <v/>
      </c>
    </row>
    <row r="272" spans="1:6" ht="16.5" customHeight="1" x14ac:dyDescent="0.25">
      <c r="A272" s="239">
        <v>271</v>
      </c>
      <c r="B272" s="240" t="str">
        <f>IF(法术书!AW23="","",法术书!AW23)</f>
        <v/>
      </c>
      <c r="C272" s="240" t="str">
        <f>IFERROR(VLOOKUP(B272,法术大全!$A:$Y,5,FALSE),"")</f>
        <v/>
      </c>
      <c r="D272" s="241" t="str">
        <f>IFERROR(VLOOKUP(B272,法术大全!$A:$Y,4,FALSE),"")</f>
        <v/>
      </c>
      <c r="E272" s="239">
        <v>271</v>
      </c>
      <c r="F272" s="242" t="str">
        <f t="shared" si="12"/>
        <v/>
      </c>
    </row>
    <row r="273" spans="1:6" ht="16.5" customHeight="1" x14ac:dyDescent="0.25">
      <c r="A273" s="239">
        <v>272</v>
      </c>
      <c r="B273" s="240" t="str">
        <f>IF(法术书!AW24="","",法术书!AW24)</f>
        <v/>
      </c>
      <c r="C273" s="240" t="str">
        <f>IFERROR(VLOOKUP(B273,法术大全!$A:$Y,5,FALSE),"")</f>
        <v/>
      </c>
      <c r="D273" s="241" t="str">
        <f>IFERROR(VLOOKUP(B273,法术大全!$A:$Y,4,FALSE),"")</f>
        <v/>
      </c>
      <c r="E273" s="239">
        <v>272</v>
      </c>
      <c r="F273" s="242" t="str">
        <f t="shared" si="12"/>
        <v/>
      </c>
    </row>
    <row r="274" spans="1:6" ht="16.5" customHeight="1" x14ac:dyDescent="0.25">
      <c r="A274" s="239">
        <v>273</v>
      </c>
      <c r="B274" s="240" t="str">
        <f>IF(法术书!AW25="","",法术书!AW25)</f>
        <v/>
      </c>
      <c r="C274" s="240" t="str">
        <f>IFERROR(VLOOKUP(B274,法术大全!$A:$Y,5,FALSE),"")</f>
        <v/>
      </c>
      <c r="D274" s="241" t="str">
        <f>IFERROR(VLOOKUP(B274,法术大全!$A:$Y,4,FALSE),"")</f>
        <v/>
      </c>
      <c r="E274" s="239">
        <v>273</v>
      </c>
      <c r="F274" s="242" t="str">
        <f t="shared" si="12"/>
        <v/>
      </c>
    </row>
    <row r="275" spans="1:6" ht="16.5" customHeight="1" x14ac:dyDescent="0.25">
      <c r="A275" s="239">
        <v>274</v>
      </c>
      <c r="B275" s="240" t="str">
        <f>IF(法术书!AW26="","",法术书!AW26)</f>
        <v/>
      </c>
      <c r="C275" s="240" t="str">
        <f>IFERROR(VLOOKUP(B275,法术大全!$A:$Y,5,FALSE),"")</f>
        <v/>
      </c>
      <c r="D275" s="241" t="str">
        <f>IFERROR(VLOOKUP(B275,法术大全!$A:$Y,4,FALSE),"")</f>
        <v/>
      </c>
      <c r="E275" s="239">
        <v>274</v>
      </c>
      <c r="F275" s="242" t="str">
        <f t="shared" si="12"/>
        <v/>
      </c>
    </row>
    <row r="276" spans="1:6" ht="16.5" customHeight="1" x14ac:dyDescent="0.25">
      <c r="A276" s="239">
        <v>275</v>
      </c>
      <c r="B276" s="240" t="str">
        <f>IF(法术书!AW27="","",法术书!AW27)</f>
        <v/>
      </c>
      <c r="C276" s="240" t="str">
        <f>IFERROR(VLOOKUP(B276,法术大全!$A:$Y,5,FALSE),"")</f>
        <v/>
      </c>
      <c r="D276" s="241" t="str">
        <f>IFERROR(VLOOKUP(B276,法术大全!$A:$Y,4,FALSE),"")</f>
        <v/>
      </c>
      <c r="E276" s="239">
        <v>275</v>
      </c>
      <c r="F276" s="242" t="str">
        <f t="shared" si="12"/>
        <v/>
      </c>
    </row>
    <row r="277" spans="1:6" ht="16.5" customHeight="1" x14ac:dyDescent="0.25">
      <c r="A277" s="239">
        <v>276</v>
      </c>
      <c r="B277" s="240" t="str">
        <f>IF(法术书!AW28="","",法术书!AW28)</f>
        <v/>
      </c>
      <c r="C277" s="240" t="str">
        <f>IFERROR(VLOOKUP(B277,法术大全!$A:$Y,5,FALSE),"")</f>
        <v/>
      </c>
      <c r="D277" s="241" t="str">
        <f>IFERROR(VLOOKUP(B277,法术大全!$A:$Y,4,FALSE),"")</f>
        <v/>
      </c>
      <c r="E277" s="239">
        <v>276</v>
      </c>
      <c r="F277" s="242" t="str">
        <f t="shared" si="12"/>
        <v/>
      </c>
    </row>
    <row r="278" spans="1:6" ht="16.5" customHeight="1" x14ac:dyDescent="0.25">
      <c r="A278" s="239">
        <v>277</v>
      </c>
      <c r="B278" s="240" t="str">
        <f>IF(法术书!AW29="","",法术书!AW29)</f>
        <v/>
      </c>
      <c r="C278" s="240" t="str">
        <f>IFERROR(VLOOKUP(B278,法术大全!$A:$Y,5,FALSE),"")</f>
        <v/>
      </c>
      <c r="D278" s="241" t="str">
        <f>IFERROR(VLOOKUP(B278,法术大全!$A:$Y,4,FALSE),"")</f>
        <v/>
      </c>
      <c r="E278" s="239">
        <v>277</v>
      </c>
      <c r="F278" s="242" t="str">
        <f t="shared" si="12"/>
        <v/>
      </c>
    </row>
    <row r="279" spans="1:6" ht="16.5" customHeight="1" x14ac:dyDescent="0.25">
      <c r="A279" s="239">
        <v>278</v>
      </c>
      <c r="B279" s="240" t="str">
        <f>IF(法术书!AW30="","",法术书!AW30)</f>
        <v/>
      </c>
      <c r="C279" s="240" t="str">
        <f>IFERROR(VLOOKUP(B279,法术大全!$A:$Y,5,FALSE),"")</f>
        <v/>
      </c>
      <c r="D279" s="241" t="str">
        <f>IFERROR(VLOOKUP(B279,法术大全!$A:$Y,4,FALSE),"")</f>
        <v/>
      </c>
      <c r="E279" s="239">
        <v>278</v>
      </c>
      <c r="F279" s="242" t="str">
        <f t="shared" si="12"/>
        <v/>
      </c>
    </row>
    <row r="280" spans="1:6" ht="16.5" customHeight="1" x14ac:dyDescent="0.25">
      <c r="A280" s="239">
        <v>279</v>
      </c>
      <c r="B280" s="240" t="str">
        <f>IF(法术书!AW31="","",法术书!AW31)</f>
        <v/>
      </c>
      <c r="C280" s="240" t="str">
        <f>IFERROR(VLOOKUP(B280,法术大全!$A:$Y,5,FALSE),"")</f>
        <v/>
      </c>
      <c r="D280" s="241" t="str">
        <f>IFERROR(VLOOKUP(B280,法术大全!$A:$Y,4,FALSE),"")</f>
        <v/>
      </c>
      <c r="E280" s="239">
        <v>279</v>
      </c>
      <c r="F280" s="242" t="str">
        <f t="shared" si="12"/>
        <v/>
      </c>
    </row>
    <row r="281" spans="1:6" ht="16.5" customHeight="1" x14ac:dyDescent="0.25">
      <c r="A281" s="239">
        <v>280</v>
      </c>
      <c r="B281" s="240" t="str">
        <f>IF(法术书!AW32="","",法术书!AW32)</f>
        <v/>
      </c>
      <c r="C281" s="240" t="str">
        <f>IFERROR(VLOOKUP(B281,法术大全!$A:$Y,5,FALSE),"")</f>
        <v/>
      </c>
      <c r="D281" s="241" t="str">
        <f>IFERROR(VLOOKUP(B281,法术大全!$A:$Y,4,FALSE),"")</f>
        <v/>
      </c>
      <c r="E281" s="239">
        <v>280</v>
      </c>
      <c r="F281" s="242" t="str">
        <f t="shared" si="12"/>
        <v/>
      </c>
    </row>
    <row r="282" spans="1:6" ht="16.5" customHeight="1" x14ac:dyDescent="0.25">
      <c r="A282" s="239">
        <v>281</v>
      </c>
      <c r="B282" s="240" t="str">
        <f>IF(法术书!AW33="","",法术书!AW33)</f>
        <v/>
      </c>
      <c r="C282" s="240" t="str">
        <f>IFERROR(VLOOKUP(B282,法术大全!$A:$Y,5,FALSE),"")</f>
        <v/>
      </c>
      <c r="D282" s="241" t="str">
        <f>IFERROR(VLOOKUP(B282,法术大全!$A:$Y,4,FALSE),"")</f>
        <v/>
      </c>
      <c r="E282" s="239">
        <v>281</v>
      </c>
      <c r="F282" s="242" t="str">
        <f t="shared" si="12"/>
        <v/>
      </c>
    </row>
    <row r="283" spans="1:6" ht="16.5" customHeight="1" x14ac:dyDescent="0.25">
      <c r="A283" s="239">
        <v>282</v>
      </c>
      <c r="B283" s="240" t="str">
        <f>IF(法术书!AW34="","",法术书!AW34)</f>
        <v/>
      </c>
      <c r="C283" s="240" t="str">
        <f>IFERROR(VLOOKUP(B283,法术大全!$A:$Y,5,FALSE),"")</f>
        <v/>
      </c>
      <c r="D283" s="241" t="str">
        <f>IFERROR(VLOOKUP(B283,法术大全!$A:$Y,4,FALSE),"")</f>
        <v/>
      </c>
      <c r="E283" s="239">
        <v>282</v>
      </c>
      <c r="F283" s="242" t="str">
        <f t="shared" si="12"/>
        <v/>
      </c>
    </row>
    <row r="284" spans="1:6" ht="16.5" customHeight="1" x14ac:dyDescent="0.25">
      <c r="A284" s="239">
        <v>283</v>
      </c>
      <c r="B284" s="240" t="str">
        <f>IF(法术书!AW35="","",法术书!AW35)</f>
        <v/>
      </c>
      <c r="C284" s="240" t="str">
        <f>IFERROR(VLOOKUP(B284,法术大全!$A:$Y,5,FALSE),"")</f>
        <v/>
      </c>
      <c r="D284" s="241" t="str">
        <f>IFERROR(VLOOKUP(B284,法术大全!$A:$Y,4,FALSE),"")</f>
        <v/>
      </c>
      <c r="E284" s="239">
        <v>283</v>
      </c>
      <c r="F284" s="242" t="str">
        <f t="shared" si="12"/>
        <v/>
      </c>
    </row>
    <row r="285" spans="1:6" ht="16.5" customHeight="1" x14ac:dyDescent="0.25">
      <c r="A285" s="239">
        <v>284</v>
      </c>
      <c r="B285" s="240" t="str">
        <f>IF(法术书!AW36="","",法术书!AW36)</f>
        <v/>
      </c>
      <c r="C285" s="240" t="str">
        <f>IFERROR(VLOOKUP(B285,法术大全!$A:$Y,5,FALSE),"")</f>
        <v/>
      </c>
      <c r="D285" s="241" t="str">
        <f>IFERROR(VLOOKUP(B285,法术大全!$A:$Y,4,FALSE),"")</f>
        <v/>
      </c>
      <c r="E285" s="239">
        <v>284</v>
      </c>
      <c r="F285" s="242" t="str">
        <f t="shared" si="12"/>
        <v/>
      </c>
    </row>
    <row r="286" spans="1:6" ht="16.5" customHeight="1" x14ac:dyDescent="0.25">
      <c r="A286" s="239">
        <v>285</v>
      </c>
      <c r="B286" s="240" t="str">
        <f>IF(法术书!AW37="","",法术书!AW37)</f>
        <v/>
      </c>
      <c r="C286" s="240" t="str">
        <f>IFERROR(VLOOKUP(B286,法术大全!$A:$Y,5,FALSE),"")</f>
        <v/>
      </c>
      <c r="D286" s="241" t="str">
        <f>IFERROR(VLOOKUP(B286,法术大全!$A:$Y,4,FALSE),"")</f>
        <v/>
      </c>
      <c r="E286" s="239">
        <v>285</v>
      </c>
      <c r="F286" s="242" t="str">
        <f t="shared" si="12"/>
        <v/>
      </c>
    </row>
    <row r="287" spans="1:6" ht="16.5" customHeight="1" x14ac:dyDescent="0.25">
      <c r="A287" s="239">
        <v>286</v>
      </c>
      <c r="B287" s="240" t="str">
        <f>IF(法术书!AW38="","",法术书!AW38)</f>
        <v/>
      </c>
      <c r="C287" s="240" t="str">
        <f>IFERROR(VLOOKUP(B287,法术大全!$A:$Y,5,FALSE),"")</f>
        <v/>
      </c>
      <c r="D287" s="241" t="str">
        <f>IFERROR(VLOOKUP(B287,法术大全!$A:$Y,4,FALSE),"")</f>
        <v/>
      </c>
      <c r="E287" s="239">
        <v>286</v>
      </c>
      <c r="F287" s="242" t="str">
        <f t="shared" si="12"/>
        <v/>
      </c>
    </row>
    <row r="288" spans="1:6" ht="16.5" customHeight="1" x14ac:dyDescent="0.25">
      <c r="A288" s="239">
        <v>287</v>
      </c>
      <c r="B288" s="240" t="str">
        <f>IF(法术书!AW39="","",法术书!AW39)</f>
        <v/>
      </c>
      <c r="C288" s="240" t="str">
        <f>IFERROR(VLOOKUP(B288,法术大全!$A:$Y,5,FALSE),"")</f>
        <v/>
      </c>
      <c r="D288" s="241" t="str">
        <f>IFERROR(VLOOKUP(B288,法术大全!$A:$Y,4,FALSE),"")</f>
        <v/>
      </c>
      <c r="E288" s="239">
        <v>287</v>
      </c>
      <c r="F288" s="242" t="str">
        <f t="shared" si="12"/>
        <v/>
      </c>
    </row>
    <row r="289" spans="1:6" ht="16.5" customHeight="1" x14ac:dyDescent="0.25">
      <c r="A289" s="239">
        <v>288</v>
      </c>
      <c r="B289" s="240" t="str">
        <f>IF(法术书!AW40="","",法术书!AW40)</f>
        <v/>
      </c>
      <c r="C289" s="240" t="str">
        <f>IFERROR(VLOOKUP(B289,法术大全!$A:$Y,5,FALSE),"")</f>
        <v/>
      </c>
      <c r="D289" s="241" t="str">
        <f>IFERROR(VLOOKUP(B289,法术大全!$A:$Y,4,FALSE),"")</f>
        <v/>
      </c>
      <c r="E289" s="239">
        <v>288</v>
      </c>
      <c r="F289" s="242" t="str">
        <f t="shared" si="12"/>
        <v/>
      </c>
    </row>
    <row r="290" spans="1:6" ht="16.5" customHeight="1" x14ac:dyDescent="0.25">
      <c r="A290" s="239">
        <v>289</v>
      </c>
      <c r="B290" s="240" t="str">
        <f>IF(法术书!AW41="","",法术书!AW41)</f>
        <v/>
      </c>
      <c r="C290" s="240" t="str">
        <f>IFERROR(VLOOKUP(B290,法术大全!$A:$Y,5,FALSE),"")</f>
        <v/>
      </c>
      <c r="D290" s="241" t="str">
        <f>IFERROR(VLOOKUP(B290,法术大全!$A:$Y,4,FALSE),"")</f>
        <v/>
      </c>
      <c r="E290" s="239">
        <v>289</v>
      </c>
      <c r="F290" s="242" t="str">
        <f t="shared" si="12"/>
        <v/>
      </c>
    </row>
    <row r="291" spans="1:6" ht="16.5" customHeight="1" x14ac:dyDescent="0.25">
      <c r="A291" s="239">
        <v>290</v>
      </c>
      <c r="B291" s="240" t="str">
        <f>IF(法术书!AW42="","",法术书!AW42)</f>
        <v/>
      </c>
      <c r="C291" s="240" t="str">
        <f>IFERROR(VLOOKUP(B291,法术大全!$A:$Y,5,FALSE),"")</f>
        <v/>
      </c>
      <c r="D291" s="241" t="str">
        <f>IFERROR(VLOOKUP(B291,法术大全!$A:$Y,4,FALSE),"")</f>
        <v/>
      </c>
      <c r="E291" s="239">
        <v>290</v>
      </c>
      <c r="F291" s="242" t="str">
        <f t="shared" si="12"/>
        <v/>
      </c>
    </row>
    <row r="292" spans="1:6" ht="16.5" customHeight="1" x14ac:dyDescent="0.25">
      <c r="A292" s="239">
        <v>291</v>
      </c>
      <c r="B292" s="240" t="str">
        <f>IF(法术书!AW43="","",法术书!AW43)</f>
        <v/>
      </c>
      <c r="C292" s="240" t="str">
        <f>IFERROR(VLOOKUP(B292,法术大全!$A:$Y,5,FALSE),"")</f>
        <v/>
      </c>
      <c r="D292" s="241" t="str">
        <f>IFERROR(VLOOKUP(B292,法术大全!$A:$Y,4,FALSE),"")</f>
        <v/>
      </c>
      <c r="E292" s="239">
        <v>291</v>
      </c>
      <c r="F292" s="242" t="str">
        <f t="shared" si="12"/>
        <v/>
      </c>
    </row>
    <row r="293" spans="1:6" ht="16.5" customHeight="1" x14ac:dyDescent="0.25">
      <c r="A293" s="239">
        <v>292</v>
      </c>
      <c r="B293" s="240" t="str">
        <f>IF(法术书!AW44="","",法术书!AW44)</f>
        <v/>
      </c>
      <c r="C293" s="240" t="str">
        <f>IFERROR(VLOOKUP(B293,法术大全!$A:$Y,5,FALSE),"")</f>
        <v/>
      </c>
      <c r="D293" s="241" t="str">
        <f>IFERROR(VLOOKUP(B293,法术大全!$A:$Y,4,FALSE),"")</f>
        <v/>
      </c>
      <c r="E293" s="239">
        <v>292</v>
      </c>
      <c r="F293" s="242" t="str">
        <f t="shared" si="12"/>
        <v/>
      </c>
    </row>
    <row r="294" spans="1:6" ht="16.5" customHeight="1" x14ac:dyDescent="0.25">
      <c r="A294" s="239">
        <v>293</v>
      </c>
      <c r="B294" s="240" t="str">
        <f>IF(法术书!AW45="","",法术书!AW45)</f>
        <v/>
      </c>
      <c r="C294" s="240" t="str">
        <f>IFERROR(VLOOKUP(B294,法术大全!$A:$Y,5,FALSE),"")</f>
        <v/>
      </c>
      <c r="D294" s="241" t="str">
        <f>IFERROR(VLOOKUP(B294,法术大全!$A:$Y,4,FALSE),"")</f>
        <v/>
      </c>
      <c r="E294" s="239">
        <v>293</v>
      </c>
      <c r="F294" s="242" t="str">
        <f t="shared" si="12"/>
        <v/>
      </c>
    </row>
    <row r="295" spans="1:6" ht="16.5" customHeight="1" x14ac:dyDescent="0.25">
      <c r="A295" s="239">
        <v>294</v>
      </c>
      <c r="B295" s="240" t="str">
        <f>IF(法术书!AW46="","",法术书!AW46)</f>
        <v/>
      </c>
      <c r="C295" s="240" t="str">
        <f>IFERROR(VLOOKUP(B295,法术大全!$A:$Y,5,FALSE),"")</f>
        <v/>
      </c>
      <c r="D295" s="241" t="str">
        <f>IFERROR(VLOOKUP(B295,法术大全!$A:$Y,4,FALSE),"")</f>
        <v/>
      </c>
      <c r="E295" s="239">
        <v>294</v>
      </c>
      <c r="F295" s="242" t="str">
        <f t="shared" si="12"/>
        <v/>
      </c>
    </row>
    <row r="296" spans="1:6" ht="16.5" customHeight="1" x14ac:dyDescent="0.25">
      <c r="A296" s="239">
        <v>295</v>
      </c>
      <c r="B296" s="240" t="str">
        <f>IF(法术书!AW47="","",法术书!AW47)</f>
        <v/>
      </c>
      <c r="C296" s="240" t="str">
        <f>IFERROR(VLOOKUP(B296,法术大全!$A:$Y,5,FALSE),"")</f>
        <v/>
      </c>
      <c r="D296" s="241" t="str">
        <f>IFERROR(VLOOKUP(B296,法术大全!$A:$Y,4,FALSE),"")</f>
        <v/>
      </c>
      <c r="E296" s="239">
        <v>295</v>
      </c>
      <c r="F296" s="242" t="str">
        <f t="shared" si="12"/>
        <v/>
      </c>
    </row>
    <row r="297" spans="1:6" ht="16.5" customHeight="1" x14ac:dyDescent="0.25">
      <c r="A297" s="239">
        <v>296</v>
      </c>
      <c r="B297" s="240" t="str">
        <f>IF(法术书!AW48="","",法术书!AW48)</f>
        <v/>
      </c>
      <c r="C297" s="240" t="str">
        <f>IFERROR(VLOOKUP(B297,法术大全!$A:$Y,5,FALSE),"")</f>
        <v/>
      </c>
      <c r="D297" s="241" t="str">
        <f>IFERROR(VLOOKUP(B297,法术大全!$A:$Y,4,FALSE),"")</f>
        <v/>
      </c>
      <c r="E297" s="239">
        <v>296</v>
      </c>
      <c r="F297" s="242" t="str">
        <f t="shared" si="12"/>
        <v/>
      </c>
    </row>
    <row r="298" spans="1:6" ht="16.5" customHeight="1" x14ac:dyDescent="0.25">
      <c r="A298" s="239">
        <v>297</v>
      </c>
      <c r="B298" s="240" t="str">
        <f>IF(法术书!AW49="","",法术书!AW49)</f>
        <v/>
      </c>
      <c r="C298" s="240" t="str">
        <f>IFERROR(VLOOKUP(B298,法术大全!$A:$Y,5,FALSE),"")</f>
        <v/>
      </c>
      <c r="D298" s="241" t="str">
        <f>IFERROR(VLOOKUP(B298,法术大全!$A:$Y,4,FALSE),"")</f>
        <v/>
      </c>
      <c r="E298" s="239">
        <v>297</v>
      </c>
      <c r="F298" s="242" t="str">
        <f t="shared" si="12"/>
        <v/>
      </c>
    </row>
    <row r="299" spans="1:6" ht="16.5" customHeight="1" x14ac:dyDescent="0.25">
      <c r="A299" s="239">
        <v>298</v>
      </c>
      <c r="B299" s="240" t="str">
        <f>IF(法术书!AW50="","",法术书!AW50)</f>
        <v/>
      </c>
      <c r="C299" s="240" t="str">
        <f>IFERROR(VLOOKUP(B299,法术大全!$A:$Y,5,FALSE),"")</f>
        <v/>
      </c>
      <c r="D299" s="241" t="str">
        <f>IFERROR(VLOOKUP(B299,法术大全!$A:$Y,4,FALSE),"")</f>
        <v/>
      </c>
      <c r="E299" s="239">
        <v>298</v>
      </c>
      <c r="F299" s="242" t="str">
        <f t="shared" si="12"/>
        <v/>
      </c>
    </row>
    <row r="300" spans="1:6" ht="16.5" customHeight="1" x14ac:dyDescent="0.25">
      <c r="A300" s="239">
        <v>299</v>
      </c>
      <c r="B300" s="240" t="str">
        <f>IF(法术书!AW51="","",法术书!AW51)</f>
        <v/>
      </c>
      <c r="C300" s="240" t="str">
        <f>IFERROR(VLOOKUP(B300,法术大全!$A:$Y,5,FALSE),"")</f>
        <v/>
      </c>
      <c r="D300" s="241" t="str">
        <f>IFERROR(VLOOKUP(B300,法术大全!$A:$Y,4,FALSE),"")</f>
        <v/>
      </c>
      <c r="E300" s="239">
        <v>299</v>
      </c>
      <c r="F300" s="242" t="str">
        <f t="shared" si="12"/>
        <v/>
      </c>
    </row>
    <row r="301" spans="1:6" ht="16.5" customHeight="1" x14ac:dyDescent="0.25">
      <c r="A301" s="239">
        <v>300</v>
      </c>
      <c r="B301" s="240" t="str">
        <f>IF(法术书!AW52="","",法术书!AW52)</f>
        <v/>
      </c>
      <c r="C301" s="240" t="str">
        <f>IFERROR(VLOOKUP(B301,法术大全!$A:$Y,5,FALSE),"")</f>
        <v/>
      </c>
      <c r="D301" s="241" t="str">
        <f>IFERROR(VLOOKUP(B301,法术大全!$A:$Y,4,FALSE),"")</f>
        <v/>
      </c>
      <c r="E301" s="239">
        <v>300</v>
      </c>
      <c r="F301" s="242" t="str">
        <f t="shared" si="12"/>
        <v/>
      </c>
    </row>
    <row r="302" spans="1:6" ht="16.5" customHeight="1" x14ac:dyDescent="0.25">
      <c r="A302" s="239" t="str">
        <f>IFERROR(VLOOKUP(#REF!,#REF!,17,FALSE),"")</f>
        <v/>
      </c>
    </row>
    <row r="303" spans="1:6" ht="16.5" customHeight="1" x14ac:dyDescent="0.25">
      <c r="A303" s="239" t="str">
        <f>IFERROR(VLOOKUP(#REF!,#REF!,17,FALSE),"")</f>
        <v/>
      </c>
    </row>
    <row r="304" spans="1:6" ht="16.5" customHeight="1" x14ac:dyDescent="0.25">
      <c r="A304" s="239" t="str">
        <f>IFERROR(VLOOKUP(#REF!,#REF!,17,FALSE),"")</f>
        <v/>
      </c>
    </row>
    <row r="305" spans="1:1" ht="16.5" customHeight="1" x14ac:dyDescent="0.25">
      <c r="A305" s="239" t="str">
        <f>IFERROR(VLOOKUP(#REF!,#REF!,17,FALSE),"")</f>
        <v/>
      </c>
    </row>
    <row r="306" spans="1:1" ht="16.5" customHeight="1" x14ac:dyDescent="0.25">
      <c r="A306" s="239" t="str">
        <f>IFERROR(VLOOKUP(#REF!,#REF!,17,FALSE),"")</f>
        <v/>
      </c>
    </row>
    <row r="307" spans="1:1" ht="16.5" customHeight="1" x14ac:dyDescent="0.25">
      <c r="A307" s="239" t="str">
        <f>IFERROR(VLOOKUP(#REF!,#REF!,17,FALSE),"")</f>
        <v/>
      </c>
    </row>
    <row r="308" spans="1:1" ht="16.5" customHeight="1" x14ac:dyDescent="0.25">
      <c r="A308" s="239" t="str">
        <f>IFERROR(VLOOKUP(#REF!,#REF!,17,FALSE),"")</f>
        <v/>
      </c>
    </row>
    <row r="309" spans="1:1" ht="16.5" customHeight="1" x14ac:dyDescent="0.25">
      <c r="A309" s="239" t="str">
        <f>IFERROR(VLOOKUP(#REF!,#REF!,17,FALSE),"")</f>
        <v/>
      </c>
    </row>
    <row r="310" spans="1:1" ht="16.5" customHeight="1" x14ac:dyDescent="0.25">
      <c r="A310" s="239" t="str">
        <f>IFERROR(VLOOKUP(#REF!,#REF!,17,FALSE),"")</f>
        <v/>
      </c>
    </row>
    <row r="311" spans="1:1" ht="16.5" customHeight="1" x14ac:dyDescent="0.25">
      <c r="A311" s="239" t="str">
        <f>IFERROR(VLOOKUP(#REF!,#REF!,17,FALSE),"")</f>
        <v/>
      </c>
    </row>
    <row r="312" spans="1:1" ht="16.5" customHeight="1" x14ac:dyDescent="0.25">
      <c r="A312" s="239" t="str">
        <f>IFERROR(VLOOKUP(#REF!,#REF!,17,FALSE),"")</f>
        <v/>
      </c>
    </row>
    <row r="313" spans="1:1" ht="16.5" customHeight="1" x14ac:dyDescent="0.25">
      <c r="A313" s="239" t="str">
        <f>IFERROR(VLOOKUP(#REF!,#REF!,17,FALSE),"")</f>
        <v/>
      </c>
    </row>
    <row r="314" spans="1:1" ht="16.5" customHeight="1" x14ac:dyDescent="0.25">
      <c r="A314" s="239" t="str">
        <f>IFERROR(VLOOKUP(#REF!,#REF!,17,FALSE),"")</f>
        <v/>
      </c>
    </row>
    <row r="315" spans="1:1" ht="16.5" customHeight="1" x14ac:dyDescent="0.25">
      <c r="A315" s="239" t="str">
        <f>IFERROR(VLOOKUP(#REF!,#REF!,17,FALSE),"")</f>
        <v/>
      </c>
    </row>
    <row r="316" spans="1:1" ht="16.5" customHeight="1" x14ac:dyDescent="0.25">
      <c r="A316" s="239" t="str">
        <f>IFERROR(VLOOKUP(#REF!,#REF!,17,FALSE),"")</f>
        <v/>
      </c>
    </row>
    <row r="317" spans="1:1" ht="16.5" customHeight="1" x14ac:dyDescent="0.25">
      <c r="A317" s="239" t="str">
        <f>IFERROR(VLOOKUP(#REF!,#REF!,17,FALSE),"")</f>
        <v/>
      </c>
    </row>
    <row r="318" spans="1:1" ht="16.5" customHeight="1" x14ac:dyDescent="0.25">
      <c r="A318" s="239" t="str">
        <f>IFERROR(VLOOKUP(#REF!,#REF!,17,FALSE),"")</f>
        <v/>
      </c>
    </row>
    <row r="319" spans="1:1" ht="16.5" customHeight="1" x14ac:dyDescent="0.25">
      <c r="A319" s="239" t="str">
        <f>IFERROR(VLOOKUP(#REF!,#REF!,17,FALSE),"")</f>
        <v/>
      </c>
    </row>
    <row r="320" spans="1:1" ht="16.5" customHeight="1" x14ac:dyDescent="0.25">
      <c r="A320" s="239" t="str">
        <f>IFERROR(VLOOKUP(#REF!,#REF!,17,FALSE),"")</f>
        <v/>
      </c>
    </row>
    <row r="321" spans="1:1" ht="16.5" customHeight="1" x14ac:dyDescent="0.25">
      <c r="A321" s="239" t="str">
        <f>IFERROR(VLOOKUP(#REF!,#REF!,17,FALSE),"")</f>
        <v/>
      </c>
    </row>
    <row r="322" spans="1:1" ht="16.5" customHeight="1" x14ac:dyDescent="0.25">
      <c r="A322" s="239" t="str">
        <f>IFERROR(VLOOKUP(#REF!,#REF!,17,FALSE),"")</f>
        <v/>
      </c>
    </row>
    <row r="323" spans="1:1" ht="16.5" customHeight="1" x14ac:dyDescent="0.25">
      <c r="A323" s="239" t="str">
        <f>IFERROR(VLOOKUP(#REF!,#REF!,17,FALSE),"")</f>
        <v/>
      </c>
    </row>
    <row r="324" spans="1:1" ht="16.5" customHeight="1" x14ac:dyDescent="0.25">
      <c r="A324" s="239" t="str">
        <f>IFERROR(VLOOKUP(#REF!,#REF!,17,FALSE),"")</f>
        <v/>
      </c>
    </row>
    <row r="325" spans="1:1" ht="16.5" customHeight="1" x14ac:dyDescent="0.25">
      <c r="A325" s="239" t="str">
        <f>IFERROR(VLOOKUP(#REF!,#REF!,17,FALSE),"")</f>
        <v/>
      </c>
    </row>
    <row r="326" spans="1:1" ht="16.5" customHeight="1" x14ac:dyDescent="0.25">
      <c r="A326" s="239" t="str">
        <f>IFERROR(VLOOKUP(#REF!,#REF!,17,FALSE),"")</f>
        <v/>
      </c>
    </row>
    <row r="327" spans="1:1" ht="16.5" customHeight="1" x14ac:dyDescent="0.25">
      <c r="A327" s="239" t="str">
        <f>IFERROR(VLOOKUP(#REF!,#REF!,17,FALSE),"")</f>
        <v/>
      </c>
    </row>
    <row r="328" spans="1:1" ht="16.5" customHeight="1" x14ac:dyDescent="0.25">
      <c r="A328" s="239" t="str">
        <f>IFERROR(VLOOKUP(#REF!,#REF!,17,FALSE),"")</f>
        <v/>
      </c>
    </row>
    <row r="329" spans="1:1" ht="16.5" customHeight="1" x14ac:dyDescent="0.25">
      <c r="A329" s="239" t="str">
        <f>IFERROR(VLOOKUP(#REF!,#REF!,17,FALSE),"")</f>
        <v/>
      </c>
    </row>
    <row r="330" spans="1:1" ht="16.5" customHeight="1" x14ac:dyDescent="0.25">
      <c r="A330" s="239" t="str">
        <f>IFERROR(VLOOKUP(#REF!,#REF!,17,FALSE),"")</f>
        <v/>
      </c>
    </row>
    <row r="331" spans="1:1" ht="16.5" customHeight="1" x14ac:dyDescent="0.25">
      <c r="A331" s="239" t="str">
        <f>IFERROR(VLOOKUP(#REF!,#REF!,17,FALSE),"")</f>
        <v/>
      </c>
    </row>
    <row r="332" spans="1:1" ht="16.5" customHeight="1" x14ac:dyDescent="0.25">
      <c r="A332" s="239" t="str">
        <f>IFERROR(VLOOKUP(#REF!,#REF!,17,FALSE),"")</f>
        <v/>
      </c>
    </row>
    <row r="333" spans="1:1" ht="16.5" customHeight="1" x14ac:dyDescent="0.25">
      <c r="A333" s="239" t="str">
        <f>IFERROR(VLOOKUP(#REF!,#REF!,17,FALSE),"")</f>
        <v/>
      </c>
    </row>
    <row r="334" spans="1:1" ht="16.5" customHeight="1" x14ac:dyDescent="0.25">
      <c r="A334" s="239" t="str">
        <f>IFERROR(VLOOKUP(#REF!,#REF!,17,FALSE),"")</f>
        <v/>
      </c>
    </row>
    <row r="335" spans="1:1" ht="16.5" customHeight="1" x14ac:dyDescent="0.25">
      <c r="A335" s="239" t="str">
        <f>IFERROR(VLOOKUP(#REF!,#REF!,17,FALSE),"")</f>
        <v/>
      </c>
    </row>
    <row r="336" spans="1:1" ht="16.5" customHeight="1" x14ac:dyDescent="0.25">
      <c r="A336" s="239" t="str">
        <f>IFERROR(VLOOKUP(#REF!,#REF!,17,FALSE),"")</f>
        <v/>
      </c>
    </row>
    <row r="337" spans="1:1" ht="16.5" customHeight="1" x14ac:dyDescent="0.25">
      <c r="A337" s="239" t="str">
        <f>IFERROR(VLOOKUP(#REF!,#REF!,17,FALSE),"")</f>
        <v/>
      </c>
    </row>
    <row r="338" spans="1:1" ht="16.5" customHeight="1" x14ac:dyDescent="0.25">
      <c r="A338" s="239" t="str">
        <f>IFERROR(VLOOKUP(#REF!,#REF!,17,FALSE),"")</f>
        <v/>
      </c>
    </row>
    <row r="339" spans="1:1" ht="16.5" customHeight="1" x14ac:dyDescent="0.25">
      <c r="A339" s="239" t="str">
        <f>IFERROR(VLOOKUP(#REF!,#REF!,17,FALSE),"")</f>
        <v/>
      </c>
    </row>
    <row r="340" spans="1:1" ht="16.5" customHeight="1" x14ac:dyDescent="0.25">
      <c r="A340" s="239" t="str">
        <f>IFERROR(VLOOKUP(#REF!,#REF!,17,FALSE),"")</f>
        <v/>
      </c>
    </row>
    <row r="341" spans="1:1" ht="16.5" customHeight="1" x14ac:dyDescent="0.25">
      <c r="A341" s="239" t="str">
        <f>IFERROR(VLOOKUP(#REF!,#REF!,17,FALSE),"")</f>
        <v/>
      </c>
    </row>
    <row r="342" spans="1:1" ht="16.5" customHeight="1" x14ac:dyDescent="0.25">
      <c r="A342" s="239" t="str">
        <f>IFERROR(VLOOKUP(#REF!,#REF!,17,FALSE),"")</f>
        <v/>
      </c>
    </row>
    <row r="343" spans="1:1" ht="16.5" customHeight="1" x14ac:dyDescent="0.25">
      <c r="A343" s="239" t="str">
        <f>IFERROR(VLOOKUP(#REF!,#REF!,17,FALSE),"")</f>
        <v/>
      </c>
    </row>
    <row r="344" spans="1:1" ht="16.5" customHeight="1" x14ac:dyDescent="0.25">
      <c r="A344" s="239" t="str">
        <f>IFERROR(VLOOKUP(#REF!,#REF!,17,FALSE),"")</f>
        <v/>
      </c>
    </row>
    <row r="345" spans="1:1" ht="16.5" customHeight="1" x14ac:dyDescent="0.25">
      <c r="A345" s="239" t="str">
        <f>IFERROR(VLOOKUP(#REF!,#REF!,17,FALSE),"")</f>
        <v/>
      </c>
    </row>
    <row r="346" spans="1:1" ht="16.5" customHeight="1" x14ac:dyDescent="0.25">
      <c r="A346" s="239" t="str">
        <f>IFERROR(VLOOKUP(#REF!,#REF!,17,FALSE),"")</f>
        <v/>
      </c>
    </row>
    <row r="347" spans="1:1" ht="16.5" customHeight="1" x14ac:dyDescent="0.25">
      <c r="A347" s="239" t="str">
        <f>IFERROR(VLOOKUP(#REF!,#REF!,17,FALSE),"")</f>
        <v/>
      </c>
    </row>
    <row r="348" spans="1:1" ht="16.5" customHeight="1" x14ac:dyDescent="0.25">
      <c r="A348" s="239" t="str">
        <f>IFERROR(VLOOKUP(#REF!,#REF!,17,FALSE),"")</f>
        <v/>
      </c>
    </row>
    <row r="349" spans="1:1" ht="16.5" customHeight="1" x14ac:dyDescent="0.25">
      <c r="A349" s="239" t="str">
        <f>IFERROR(VLOOKUP(#REF!,#REF!,17,FALSE),"")</f>
        <v/>
      </c>
    </row>
    <row r="350" spans="1:1" ht="16.5" customHeight="1" x14ac:dyDescent="0.25">
      <c r="A350" s="239" t="str">
        <f>IFERROR(VLOOKUP(#REF!,#REF!,17,FALSE),"")</f>
        <v/>
      </c>
    </row>
    <row r="351" spans="1:1" ht="16.5" customHeight="1" x14ac:dyDescent="0.25">
      <c r="A351" s="239" t="str">
        <f>IFERROR(VLOOKUP(#REF!,#REF!,17,FALSE),"")</f>
        <v/>
      </c>
    </row>
    <row r="352" spans="1:1" ht="16.5" customHeight="1" x14ac:dyDescent="0.25">
      <c r="A352" s="239" t="str">
        <f>IFERROR(VLOOKUP(#REF!,#REF!,17,FALSE),"")</f>
        <v/>
      </c>
    </row>
    <row r="353" spans="1:1" ht="16.5" customHeight="1" x14ac:dyDescent="0.25">
      <c r="A353" s="239" t="str">
        <f>IFERROR(VLOOKUP(#REF!,#REF!,17,FALSE),"")</f>
        <v/>
      </c>
    </row>
    <row r="354" spans="1:1" ht="16.5" customHeight="1" x14ac:dyDescent="0.25">
      <c r="A354" s="239" t="str">
        <f>IFERROR(VLOOKUP(#REF!,#REF!,17,FALSE),"")</f>
        <v/>
      </c>
    </row>
    <row r="355" spans="1:1" ht="16.5" customHeight="1" x14ac:dyDescent="0.25">
      <c r="A355" s="239" t="str">
        <f>IFERROR(VLOOKUP(#REF!,#REF!,17,FALSE),"")</f>
        <v/>
      </c>
    </row>
    <row r="356" spans="1:1" ht="16.5" customHeight="1" x14ac:dyDescent="0.25">
      <c r="A356" s="239" t="str">
        <f>IFERROR(VLOOKUP(#REF!,#REF!,17,FALSE),"")</f>
        <v/>
      </c>
    </row>
    <row r="357" spans="1:1" ht="16.5" customHeight="1" x14ac:dyDescent="0.25">
      <c r="A357" s="239" t="str">
        <f>IFERROR(VLOOKUP(#REF!,#REF!,17,FALSE),"")</f>
        <v/>
      </c>
    </row>
    <row r="358" spans="1:1" ht="16.5" customHeight="1" x14ac:dyDescent="0.25">
      <c r="A358" s="239" t="str">
        <f>IFERROR(VLOOKUP(#REF!,#REF!,17,FALSE),"")</f>
        <v/>
      </c>
    </row>
    <row r="359" spans="1:1" ht="16.5" customHeight="1" x14ac:dyDescent="0.25">
      <c r="A359" s="239" t="str">
        <f>IFERROR(VLOOKUP(#REF!,#REF!,17,FALSE),"")</f>
        <v/>
      </c>
    </row>
    <row r="360" spans="1:1" ht="16.5" customHeight="1" x14ac:dyDescent="0.25">
      <c r="A360" s="239" t="str">
        <f>IFERROR(VLOOKUP(#REF!,#REF!,17,FALSE),"")</f>
        <v/>
      </c>
    </row>
    <row r="361" spans="1:1" ht="16.5" customHeight="1" x14ac:dyDescent="0.25">
      <c r="A361" s="239" t="str">
        <f>IFERROR(VLOOKUP(#REF!,#REF!,17,FALSE),"")</f>
        <v/>
      </c>
    </row>
    <row r="362" spans="1:1" ht="16.5" customHeight="1" x14ac:dyDescent="0.25">
      <c r="A362" s="239" t="str">
        <f>IFERROR(VLOOKUP(#REF!,#REF!,17,FALSE),"")</f>
        <v/>
      </c>
    </row>
    <row r="363" spans="1:1" ht="16.5" customHeight="1" x14ac:dyDescent="0.25">
      <c r="A363" s="239" t="str">
        <f>IFERROR(VLOOKUP(#REF!,#REF!,17,FALSE),"")</f>
        <v/>
      </c>
    </row>
  </sheetData>
  <mergeCells count="4">
    <mergeCell ref="E1:F1"/>
    <mergeCell ref="CC1:CD1"/>
    <mergeCell ref="AK3:BF13"/>
    <mergeCell ref="AK2:BF2"/>
  </mergeCells>
  <phoneticPr fontId="86"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E3:P96"/>
  <sheetViews>
    <sheetView zoomScale="70" zoomScaleNormal="70" workbookViewId="0">
      <selection activeCell="H16" sqref="H16"/>
    </sheetView>
  </sheetViews>
  <sheetFormatPr defaultColWidth="8.88671875" defaultRowHeight="16.2" customHeight="1" x14ac:dyDescent="0.25"/>
  <cols>
    <col min="1" max="4" width="8.88671875" style="127"/>
    <col min="5" max="5" width="10.77734375" style="127" customWidth="1"/>
    <col min="6" max="6" width="20.77734375" style="127" customWidth="1"/>
    <col min="7" max="8" width="8.88671875" style="127"/>
    <col min="9" max="9" width="20.77734375" style="127" customWidth="1"/>
    <col min="10" max="16384" width="8.88671875" style="127"/>
  </cols>
  <sheetData>
    <row r="3" spans="5:16" ht="16.2" customHeight="1" x14ac:dyDescent="0.25">
      <c r="E3" s="128" t="s">
        <v>17</v>
      </c>
      <c r="F3" s="128" t="s">
        <v>39</v>
      </c>
      <c r="H3" s="128" t="s">
        <v>17</v>
      </c>
      <c r="I3" s="128" t="s">
        <v>39</v>
      </c>
      <c r="L3" s="128" t="s">
        <v>17</v>
      </c>
      <c r="M3" s="128" t="s">
        <v>39</v>
      </c>
      <c r="O3" s="128" t="s">
        <v>17</v>
      </c>
      <c r="P3" s="128" t="s">
        <v>39</v>
      </c>
    </row>
    <row r="4" spans="5:16" ht="16.2" customHeight="1" x14ac:dyDescent="0.25">
      <c r="E4" s="232" t="s">
        <v>569</v>
      </c>
      <c r="F4" s="169" t="s">
        <v>570</v>
      </c>
      <c r="H4" s="233" t="s">
        <v>571</v>
      </c>
      <c r="I4" s="233" t="s">
        <v>572</v>
      </c>
      <c r="L4" s="127">
        <f>主要!BU19</f>
        <v>0</v>
      </c>
      <c r="M4" s="127" t="str">
        <f>IFERROR(VLOOKUP(L4,$E$4:$F$96,2,FALSE),"")</f>
        <v/>
      </c>
      <c r="O4" s="127">
        <f>主要!BT33</f>
        <v>0</v>
      </c>
      <c r="P4" s="127" t="str">
        <f>IFERROR(VLOOKUP(O4,$H$4:$I$15,2,FALSE),"")</f>
        <v/>
      </c>
    </row>
    <row r="5" spans="5:16" ht="16.2" customHeight="1" x14ac:dyDescent="0.25">
      <c r="E5" s="232" t="s">
        <v>573</v>
      </c>
      <c r="F5" s="169" t="s">
        <v>574</v>
      </c>
      <c r="H5" s="192" t="s">
        <v>575</v>
      </c>
      <c r="I5" s="192" t="s">
        <v>576</v>
      </c>
      <c r="L5" s="127">
        <f>主要!BU20</f>
        <v>0</v>
      </c>
      <c r="M5" s="127" t="str">
        <f t="shared" ref="M5:M13" si="0">IFERROR(VLOOKUP(L5,$E$4:$F$96,2,FALSE),"")</f>
        <v/>
      </c>
      <c r="O5" s="127">
        <f>主要!BT34</f>
        <v>0</v>
      </c>
      <c r="P5" s="127" t="str">
        <f t="shared" ref="P5:P7" si="1">IFERROR(VLOOKUP(O5,$H$4:$I$15,2,FALSE),"")</f>
        <v/>
      </c>
    </row>
    <row r="6" spans="5:16" ht="16.2" customHeight="1" x14ac:dyDescent="0.25">
      <c r="E6" s="232" t="s">
        <v>577</v>
      </c>
      <c r="F6" s="169" t="s">
        <v>578</v>
      </c>
      <c r="H6" s="192" t="s">
        <v>579</v>
      </c>
      <c r="I6" s="192" t="s">
        <v>580</v>
      </c>
      <c r="L6" s="127">
        <f>主要!BU21</f>
        <v>0</v>
      </c>
      <c r="M6" s="127" t="str">
        <f t="shared" si="0"/>
        <v/>
      </c>
      <c r="O6" s="127">
        <f>主要!BT35</f>
        <v>0</v>
      </c>
      <c r="P6" s="127" t="str">
        <f t="shared" si="1"/>
        <v/>
      </c>
    </row>
    <row r="7" spans="5:16" ht="16.2" customHeight="1" x14ac:dyDescent="0.25">
      <c r="E7" s="232" t="s">
        <v>581</v>
      </c>
      <c r="F7" s="169" t="s">
        <v>582</v>
      </c>
      <c r="H7" s="192" t="s">
        <v>583</v>
      </c>
      <c r="I7" s="192" t="s">
        <v>584</v>
      </c>
      <c r="L7" s="127">
        <f>主要!BU22</f>
        <v>0</v>
      </c>
      <c r="M7" s="127" t="str">
        <f t="shared" si="0"/>
        <v/>
      </c>
      <c r="O7" s="127">
        <f>主要!BT36</f>
        <v>0</v>
      </c>
      <c r="P7" s="127" t="str">
        <f t="shared" si="1"/>
        <v/>
      </c>
    </row>
    <row r="8" spans="5:16" ht="16.2" customHeight="1" x14ac:dyDescent="0.25">
      <c r="E8" s="232" t="s">
        <v>585</v>
      </c>
      <c r="F8" s="169" t="s">
        <v>586</v>
      </c>
      <c r="H8" s="192" t="s">
        <v>587</v>
      </c>
      <c r="I8" s="192" t="s">
        <v>588</v>
      </c>
      <c r="L8" s="127">
        <f>主要!BU23</f>
        <v>0</v>
      </c>
      <c r="M8" s="127" t="str">
        <f t="shared" si="0"/>
        <v/>
      </c>
    </row>
    <row r="9" spans="5:16" ht="16.2" customHeight="1" x14ac:dyDescent="0.25">
      <c r="E9" s="232" t="s">
        <v>589</v>
      </c>
      <c r="F9" s="169" t="s">
        <v>590</v>
      </c>
      <c r="H9" s="192" t="s">
        <v>591</v>
      </c>
      <c r="I9" s="192" t="s">
        <v>592</v>
      </c>
      <c r="L9" s="127">
        <f>主要!BU24</f>
        <v>0</v>
      </c>
      <c r="M9" s="127" t="str">
        <f t="shared" si="0"/>
        <v/>
      </c>
    </row>
    <row r="10" spans="5:16" ht="16.2" customHeight="1" x14ac:dyDescent="0.25">
      <c r="E10" s="232" t="s">
        <v>593</v>
      </c>
      <c r="F10" s="169" t="s">
        <v>594</v>
      </c>
      <c r="H10" s="192" t="s">
        <v>595</v>
      </c>
      <c r="I10" s="192" t="s">
        <v>596</v>
      </c>
      <c r="L10" s="127">
        <f>主要!BU25</f>
        <v>0</v>
      </c>
      <c r="M10" s="127" t="str">
        <f t="shared" si="0"/>
        <v/>
      </c>
    </row>
    <row r="11" spans="5:16" ht="16.2" customHeight="1" x14ac:dyDescent="0.25">
      <c r="E11" s="232" t="s">
        <v>597</v>
      </c>
      <c r="F11" s="169" t="s">
        <v>598</v>
      </c>
      <c r="H11" s="192" t="s">
        <v>599</v>
      </c>
      <c r="I11" s="192" t="s">
        <v>600</v>
      </c>
      <c r="L11" s="127">
        <f>主要!BU26</f>
        <v>0</v>
      </c>
      <c r="M11" s="127" t="str">
        <f t="shared" si="0"/>
        <v/>
      </c>
    </row>
    <row r="12" spans="5:16" ht="16.2" customHeight="1" x14ac:dyDescent="0.25">
      <c r="E12" s="232" t="s">
        <v>601</v>
      </c>
      <c r="F12" s="169" t="s">
        <v>602</v>
      </c>
      <c r="H12" s="192" t="s">
        <v>603</v>
      </c>
      <c r="I12" s="192" t="s">
        <v>604</v>
      </c>
      <c r="L12" s="127">
        <f>主要!BU27</f>
        <v>0</v>
      </c>
      <c r="M12" s="127" t="str">
        <f t="shared" si="0"/>
        <v/>
      </c>
    </row>
    <row r="13" spans="5:16" ht="16.2" customHeight="1" x14ac:dyDescent="0.25">
      <c r="E13" s="232" t="s">
        <v>605</v>
      </c>
      <c r="F13" s="169" t="s">
        <v>606</v>
      </c>
      <c r="H13" s="192" t="s">
        <v>607</v>
      </c>
      <c r="I13" s="192" t="s">
        <v>608</v>
      </c>
      <c r="L13" s="127">
        <f>主要!BU28</f>
        <v>0</v>
      </c>
      <c r="M13" s="127" t="str">
        <f t="shared" si="0"/>
        <v/>
      </c>
    </row>
    <row r="14" spans="5:16" ht="16.2" customHeight="1" x14ac:dyDescent="0.25">
      <c r="E14" s="234" t="s">
        <v>609</v>
      </c>
      <c r="F14" s="235" t="s">
        <v>610</v>
      </c>
      <c r="H14" s="236" t="s">
        <v>611</v>
      </c>
      <c r="I14" s="236" t="s">
        <v>612</v>
      </c>
      <c r="L14" s="127">
        <f>主要!BU29</f>
        <v>0</v>
      </c>
      <c r="M14" s="127" t="str">
        <f>IFERROR(VLOOKUP(L14,$E$4:$F$96,2,FALSE),"")</f>
        <v/>
      </c>
    </row>
    <row r="15" spans="5:16" ht="16.2" customHeight="1" x14ac:dyDescent="0.25">
      <c r="E15" s="234" t="s">
        <v>613</v>
      </c>
      <c r="F15" s="235" t="s">
        <v>614</v>
      </c>
      <c r="H15" s="236" t="s">
        <v>615</v>
      </c>
      <c r="I15" s="236" t="s">
        <v>616</v>
      </c>
    </row>
    <row r="16" spans="5:16" ht="16.2" customHeight="1" x14ac:dyDescent="0.25">
      <c r="E16" s="234" t="s">
        <v>617</v>
      </c>
      <c r="F16" s="235" t="s">
        <v>618</v>
      </c>
    </row>
    <row r="17" spans="5:6" ht="16.2" customHeight="1" x14ac:dyDescent="0.25">
      <c r="E17" s="234" t="s">
        <v>619</v>
      </c>
      <c r="F17" s="235" t="s">
        <v>620</v>
      </c>
    </row>
    <row r="18" spans="5:6" ht="16.2" customHeight="1" x14ac:dyDescent="0.25">
      <c r="E18" s="234" t="s">
        <v>621</v>
      </c>
      <c r="F18" s="235" t="s">
        <v>622</v>
      </c>
    </row>
    <row r="19" spans="5:6" ht="16.2" customHeight="1" x14ac:dyDescent="0.25">
      <c r="E19" s="234" t="s">
        <v>623</v>
      </c>
      <c r="F19" s="235" t="s">
        <v>624</v>
      </c>
    </row>
    <row r="20" spans="5:6" ht="16.2" customHeight="1" x14ac:dyDescent="0.25">
      <c r="E20" s="234" t="s">
        <v>625</v>
      </c>
      <c r="F20" s="235" t="s">
        <v>626</v>
      </c>
    </row>
    <row r="21" spans="5:6" ht="16.2" customHeight="1" x14ac:dyDescent="0.25">
      <c r="E21" s="234" t="s">
        <v>627</v>
      </c>
      <c r="F21" s="235" t="s">
        <v>628</v>
      </c>
    </row>
    <row r="22" spans="5:6" ht="16.2" customHeight="1" x14ac:dyDescent="0.25">
      <c r="E22" s="234" t="s">
        <v>629</v>
      </c>
      <c r="F22" s="235" t="s">
        <v>630</v>
      </c>
    </row>
    <row r="23" spans="5:6" ht="16.2" customHeight="1" x14ac:dyDescent="0.25">
      <c r="E23" s="234" t="s">
        <v>631</v>
      </c>
      <c r="F23" s="235" t="s">
        <v>632</v>
      </c>
    </row>
    <row r="24" spans="5:6" ht="16.2" customHeight="1" x14ac:dyDescent="0.25">
      <c r="E24" s="234" t="s">
        <v>633</v>
      </c>
      <c r="F24" s="235" t="s">
        <v>634</v>
      </c>
    </row>
    <row r="25" spans="5:6" ht="16.2" customHeight="1" x14ac:dyDescent="0.25">
      <c r="E25" s="234" t="s">
        <v>635</v>
      </c>
      <c r="F25" s="235" t="s">
        <v>636</v>
      </c>
    </row>
    <row r="26" spans="5:6" ht="16.2" customHeight="1" x14ac:dyDescent="0.25">
      <c r="E26" s="234" t="s">
        <v>637</v>
      </c>
      <c r="F26" s="235" t="s">
        <v>638</v>
      </c>
    </row>
    <row r="27" spans="5:6" ht="16.2" customHeight="1" x14ac:dyDescent="0.25">
      <c r="E27" s="234" t="s">
        <v>639</v>
      </c>
      <c r="F27" s="235" t="s">
        <v>640</v>
      </c>
    </row>
    <row r="28" spans="5:6" ht="16.2" customHeight="1" x14ac:dyDescent="0.25">
      <c r="E28" s="234" t="s">
        <v>641</v>
      </c>
      <c r="F28" s="235" t="s">
        <v>642</v>
      </c>
    </row>
    <row r="29" spans="5:6" ht="16.2" customHeight="1" x14ac:dyDescent="0.25">
      <c r="E29" s="234" t="s">
        <v>643</v>
      </c>
      <c r="F29" s="235" t="s">
        <v>644</v>
      </c>
    </row>
    <row r="30" spans="5:6" ht="16.2" customHeight="1" x14ac:dyDescent="0.25">
      <c r="E30" s="234" t="s">
        <v>645</v>
      </c>
      <c r="F30" s="235" t="s">
        <v>646</v>
      </c>
    </row>
    <row r="31" spans="5:6" ht="16.2" customHeight="1" x14ac:dyDescent="0.25">
      <c r="E31" s="234" t="s">
        <v>647</v>
      </c>
      <c r="F31" s="235" t="s">
        <v>648</v>
      </c>
    </row>
    <row r="32" spans="5:6" ht="16.2" customHeight="1" x14ac:dyDescent="0.25">
      <c r="E32" s="234" t="s">
        <v>649</v>
      </c>
      <c r="F32" s="235" t="s">
        <v>650</v>
      </c>
    </row>
    <row r="33" spans="5:6" ht="16.2" customHeight="1" x14ac:dyDescent="0.25">
      <c r="E33" s="234" t="s">
        <v>651</v>
      </c>
      <c r="F33" s="235" t="s">
        <v>652</v>
      </c>
    </row>
    <row r="34" spans="5:6" ht="16.2" customHeight="1" x14ac:dyDescent="0.25">
      <c r="E34" s="234" t="s">
        <v>653</v>
      </c>
      <c r="F34" s="235" t="s">
        <v>654</v>
      </c>
    </row>
    <row r="35" spans="5:6" ht="16.2" customHeight="1" x14ac:dyDescent="0.25">
      <c r="E35" s="234" t="s">
        <v>655</v>
      </c>
      <c r="F35" s="235" t="s">
        <v>656</v>
      </c>
    </row>
    <row r="36" spans="5:6" ht="16.2" customHeight="1" x14ac:dyDescent="0.25">
      <c r="E36" s="234" t="s">
        <v>657</v>
      </c>
      <c r="F36" s="235" t="s">
        <v>658</v>
      </c>
    </row>
    <row r="37" spans="5:6" ht="16.2" customHeight="1" x14ac:dyDescent="0.25">
      <c r="E37" s="234" t="s">
        <v>659</v>
      </c>
      <c r="F37" s="235" t="s">
        <v>660</v>
      </c>
    </row>
    <row r="38" spans="5:6" ht="16.2" customHeight="1" x14ac:dyDescent="0.25">
      <c r="E38" s="234" t="s">
        <v>661</v>
      </c>
      <c r="F38" s="235" t="s">
        <v>662</v>
      </c>
    </row>
    <row r="39" spans="5:6" ht="16.2" customHeight="1" x14ac:dyDescent="0.25">
      <c r="E39" s="234" t="s">
        <v>663</v>
      </c>
      <c r="F39" s="235" t="s">
        <v>664</v>
      </c>
    </row>
    <row r="40" spans="5:6" ht="16.2" customHeight="1" x14ac:dyDescent="0.25">
      <c r="E40" s="234" t="s">
        <v>665</v>
      </c>
      <c r="F40" s="235" t="s">
        <v>666</v>
      </c>
    </row>
    <row r="41" spans="5:6" ht="16.2" customHeight="1" x14ac:dyDescent="0.25">
      <c r="E41" s="234" t="s">
        <v>667</v>
      </c>
      <c r="F41" s="235" t="s">
        <v>668</v>
      </c>
    </row>
    <row r="42" spans="5:6" ht="16.2" customHeight="1" x14ac:dyDescent="0.25">
      <c r="E42" s="234" t="s">
        <v>669</v>
      </c>
      <c r="F42" s="235" t="s">
        <v>670</v>
      </c>
    </row>
    <row r="43" spans="5:6" ht="16.2" customHeight="1" x14ac:dyDescent="0.25">
      <c r="E43" s="234" t="s">
        <v>671</v>
      </c>
      <c r="F43" s="235" t="s">
        <v>672</v>
      </c>
    </row>
    <row r="44" spans="5:6" ht="16.2" customHeight="1" x14ac:dyDescent="0.25">
      <c r="E44" s="234" t="s">
        <v>673</v>
      </c>
      <c r="F44" s="235" t="s">
        <v>674</v>
      </c>
    </row>
    <row r="45" spans="5:6" ht="16.2" customHeight="1" x14ac:dyDescent="0.25">
      <c r="E45" s="234" t="s">
        <v>675</v>
      </c>
      <c r="F45" s="235" t="s">
        <v>676</v>
      </c>
    </row>
    <row r="46" spans="5:6" ht="16.2" customHeight="1" x14ac:dyDescent="0.25">
      <c r="E46" s="234" t="s">
        <v>677</v>
      </c>
      <c r="F46" s="235" t="s">
        <v>678</v>
      </c>
    </row>
    <row r="47" spans="5:6" ht="16.2" customHeight="1" x14ac:dyDescent="0.25">
      <c r="E47" s="234" t="s">
        <v>679</v>
      </c>
      <c r="F47" s="235" t="s">
        <v>680</v>
      </c>
    </row>
    <row r="48" spans="5:6" ht="16.2" customHeight="1" x14ac:dyDescent="0.25">
      <c r="E48" s="234" t="s">
        <v>681</v>
      </c>
      <c r="F48" s="235" t="s">
        <v>682</v>
      </c>
    </row>
    <row r="49" spans="5:6" ht="16.2" customHeight="1" x14ac:dyDescent="0.25">
      <c r="E49" s="234" t="s">
        <v>683</v>
      </c>
      <c r="F49" s="235" t="s">
        <v>684</v>
      </c>
    </row>
    <row r="50" spans="5:6" ht="16.2" customHeight="1" x14ac:dyDescent="0.25">
      <c r="E50" s="234" t="s">
        <v>685</v>
      </c>
      <c r="F50" s="235" t="s">
        <v>686</v>
      </c>
    </row>
    <row r="51" spans="5:6" ht="16.2" customHeight="1" x14ac:dyDescent="0.25">
      <c r="E51" s="234" t="s">
        <v>687</v>
      </c>
      <c r="F51" s="235" t="s">
        <v>688</v>
      </c>
    </row>
    <row r="52" spans="5:6" ht="16.2" customHeight="1" x14ac:dyDescent="0.25">
      <c r="E52" s="234" t="s">
        <v>689</v>
      </c>
      <c r="F52" s="235" t="s">
        <v>690</v>
      </c>
    </row>
    <row r="53" spans="5:6" ht="16.2" customHeight="1" x14ac:dyDescent="0.25">
      <c r="E53" s="234" t="s">
        <v>691</v>
      </c>
      <c r="F53" s="235" t="s">
        <v>692</v>
      </c>
    </row>
    <row r="54" spans="5:6" ht="16.2" customHeight="1" x14ac:dyDescent="0.25">
      <c r="E54" s="234" t="s">
        <v>693</v>
      </c>
      <c r="F54" s="235" t="s">
        <v>694</v>
      </c>
    </row>
    <row r="55" spans="5:6" ht="16.2" customHeight="1" x14ac:dyDescent="0.25">
      <c r="E55" s="234" t="s">
        <v>695</v>
      </c>
      <c r="F55" s="235" t="s">
        <v>696</v>
      </c>
    </row>
    <row r="56" spans="5:6" ht="16.2" customHeight="1" x14ac:dyDescent="0.25">
      <c r="E56" s="234" t="s">
        <v>697</v>
      </c>
      <c r="F56" s="235" t="s">
        <v>698</v>
      </c>
    </row>
    <row r="57" spans="5:6" ht="16.2" customHeight="1" x14ac:dyDescent="0.25">
      <c r="E57" s="237" t="s">
        <v>699</v>
      </c>
      <c r="F57" s="238" t="s">
        <v>700</v>
      </c>
    </row>
    <row r="58" spans="5:6" ht="16.2" customHeight="1" x14ac:dyDescent="0.25">
      <c r="E58" s="237" t="s">
        <v>701</v>
      </c>
      <c r="F58" s="238" t="s">
        <v>702</v>
      </c>
    </row>
    <row r="59" spans="5:6" ht="16.2" customHeight="1" x14ac:dyDescent="0.25">
      <c r="E59" s="237" t="s">
        <v>703</v>
      </c>
      <c r="F59" s="238" t="s">
        <v>704</v>
      </c>
    </row>
    <row r="60" spans="5:6" ht="16.2" customHeight="1" x14ac:dyDescent="0.25">
      <c r="E60" s="237" t="s">
        <v>705</v>
      </c>
      <c r="F60" s="238" t="s">
        <v>706</v>
      </c>
    </row>
    <row r="61" spans="5:6" ht="16.2" customHeight="1" x14ac:dyDescent="0.25">
      <c r="E61" s="237" t="s">
        <v>707</v>
      </c>
      <c r="F61" s="238" t="s">
        <v>708</v>
      </c>
    </row>
    <row r="62" spans="5:6" ht="16.2" customHeight="1" x14ac:dyDescent="0.25">
      <c r="E62" s="237" t="s">
        <v>709</v>
      </c>
      <c r="F62" s="238" t="s">
        <v>710</v>
      </c>
    </row>
    <row r="63" spans="5:6" ht="16.2" customHeight="1" x14ac:dyDescent="0.25">
      <c r="E63" s="237" t="s">
        <v>711</v>
      </c>
      <c r="F63" s="238" t="s">
        <v>712</v>
      </c>
    </row>
    <row r="64" spans="5:6" ht="16.2" customHeight="1" x14ac:dyDescent="0.25">
      <c r="E64" s="237" t="s">
        <v>713</v>
      </c>
      <c r="F64" s="238" t="s">
        <v>714</v>
      </c>
    </row>
    <row r="65" spans="5:6" ht="16.2" customHeight="1" x14ac:dyDescent="0.25">
      <c r="E65" s="237" t="s">
        <v>715</v>
      </c>
      <c r="F65" s="238" t="s">
        <v>716</v>
      </c>
    </row>
    <row r="66" spans="5:6" ht="16.2" customHeight="1" x14ac:dyDescent="0.25">
      <c r="E66" s="237" t="s">
        <v>717</v>
      </c>
      <c r="F66" s="238" t="s">
        <v>718</v>
      </c>
    </row>
    <row r="67" spans="5:6" ht="16.2" customHeight="1" x14ac:dyDescent="0.25">
      <c r="E67" s="237" t="s">
        <v>719</v>
      </c>
      <c r="F67" s="238" t="s">
        <v>720</v>
      </c>
    </row>
    <row r="68" spans="5:6" ht="16.2" customHeight="1" x14ac:dyDescent="0.25">
      <c r="E68" s="237" t="s">
        <v>721</v>
      </c>
      <c r="F68" s="238" t="s">
        <v>722</v>
      </c>
    </row>
    <row r="69" spans="5:6" ht="16.2" customHeight="1" x14ac:dyDescent="0.25">
      <c r="E69" s="127" t="s">
        <v>4641</v>
      </c>
      <c r="F69" s="127" t="s">
        <v>4642</v>
      </c>
    </row>
    <row r="70" spans="5:6" ht="16.2" customHeight="1" x14ac:dyDescent="0.25">
      <c r="E70" s="127" t="s">
        <v>4643</v>
      </c>
      <c r="F70" s="127" t="s">
        <v>4644</v>
      </c>
    </row>
    <row r="71" spans="5:6" ht="16.2" customHeight="1" x14ac:dyDescent="0.25">
      <c r="E71" s="127" t="s">
        <v>4645</v>
      </c>
      <c r="F71" s="127" t="s">
        <v>4646</v>
      </c>
    </row>
    <row r="72" spans="5:6" ht="16.2" customHeight="1" x14ac:dyDescent="0.25">
      <c r="E72" s="127" t="s">
        <v>4647</v>
      </c>
      <c r="F72" s="127" t="s">
        <v>4648</v>
      </c>
    </row>
    <row r="73" spans="5:6" ht="16.2" customHeight="1" x14ac:dyDescent="0.25">
      <c r="E73" s="127" t="s">
        <v>4649</v>
      </c>
      <c r="F73" s="127" t="s">
        <v>4650</v>
      </c>
    </row>
    <row r="74" spans="5:6" ht="16.2" customHeight="1" x14ac:dyDescent="0.25">
      <c r="E74" s="127" t="s">
        <v>4651</v>
      </c>
      <c r="F74" s="127" t="s">
        <v>4652</v>
      </c>
    </row>
    <row r="75" spans="5:6" ht="16.2" customHeight="1" x14ac:dyDescent="0.25">
      <c r="E75" s="127" t="s">
        <v>4653</v>
      </c>
      <c r="F75" s="127" t="s">
        <v>4654</v>
      </c>
    </row>
    <row r="76" spans="5:6" ht="16.2" customHeight="1" x14ac:dyDescent="0.25">
      <c r="E76" s="127" t="s">
        <v>4655</v>
      </c>
      <c r="F76" s="127" t="s">
        <v>4656</v>
      </c>
    </row>
    <row r="77" spans="5:6" ht="16.2" customHeight="1" x14ac:dyDescent="0.25">
      <c r="E77" s="127" t="s">
        <v>4657</v>
      </c>
      <c r="F77" s="127" t="s">
        <v>4658</v>
      </c>
    </row>
    <row r="78" spans="5:6" ht="16.2" customHeight="1" x14ac:dyDescent="0.25">
      <c r="E78" s="127" t="s">
        <v>4659</v>
      </c>
      <c r="F78" s="127" t="s">
        <v>4660</v>
      </c>
    </row>
    <row r="79" spans="5:6" ht="16.2" customHeight="1" x14ac:dyDescent="0.25">
      <c r="E79" s="127" t="s">
        <v>4661</v>
      </c>
      <c r="F79" s="127" t="s">
        <v>4662</v>
      </c>
    </row>
    <row r="80" spans="5:6" ht="16.2" customHeight="1" x14ac:dyDescent="0.25">
      <c r="E80" s="127" t="s">
        <v>4663</v>
      </c>
      <c r="F80" s="127" t="s">
        <v>4664</v>
      </c>
    </row>
    <row r="81" spans="5:6" ht="16.2" customHeight="1" x14ac:dyDescent="0.25">
      <c r="E81" s="127" t="s">
        <v>4665</v>
      </c>
      <c r="F81" s="127" t="s">
        <v>4666</v>
      </c>
    </row>
    <row r="82" spans="5:6" ht="16.2" customHeight="1" x14ac:dyDescent="0.25">
      <c r="E82" s="127" t="s">
        <v>4667</v>
      </c>
      <c r="F82" s="127" t="s">
        <v>4681</v>
      </c>
    </row>
    <row r="83" spans="5:6" ht="16.2" customHeight="1" x14ac:dyDescent="0.25">
      <c r="E83" s="127" t="s">
        <v>4668</v>
      </c>
      <c r="F83" s="127" t="s">
        <v>4682</v>
      </c>
    </row>
    <row r="84" spans="5:6" ht="16.2" customHeight="1" x14ac:dyDescent="0.25">
      <c r="E84" s="127" t="s">
        <v>4669</v>
      </c>
      <c r="F84" s="127" t="s">
        <v>4683</v>
      </c>
    </row>
    <row r="85" spans="5:6" ht="16.2" customHeight="1" x14ac:dyDescent="0.25">
      <c r="E85" s="127" t="s">
        <v>4670</v>
      </c>
      <c r="F85" s="127" t="s">
        <v>4684</v>
      </c>
    </row>
    <row r="86" spans="5:6" ht="16.2" customHeight="1" x14ac:dyDescent="0.25">
      <c r="E86" s="127" t="s">
        <v>4671</v>
      </c>
      <c r="F86" s="127" t="s">
        <v>4685</v>
      </c>
    </row>
    <row r="87" spans="5:6" ht="16.2" customHeight="1" x14ac:dyDescent="0.25">
      <c r="E87" s="127" t="s">
        <v>4672</v>
      </c>
      <c r="F87" s="127" t="s">
        <v>4686</v>
      </c>
    </row>
    <row r="88" spans="5:6" ht="16.2" customHeight="1" x14ac:dyDescent="0.25">
      <c r="E88" s="127" t="s">
        <v>4673</v>
      </c>
      <c r="F88" s="127" t="s">
        <v>4687</v>
      </c>
    </row>
    <row r="89" spans="5:6" ht="16.2" customHeight="1" x14ac:dyDescent="0.25">
      <c r="E89" s="127" t="s">
        <v>4674</v>
      </c>
      <c r="F89" s="127" t="s">
        <v>4688</v>
      </c>
    </row>
    <row r="90" spans="5:6" ht="16.2" customHeight="1" x14ac:dyDescent="0.25">
      <c r="E90" s="127" t="s">
        <v>4675</v>
      </c>
      <c r="F90" s="127" t="s">
        <v>4689</v>
      </c>
    </row>
    <row r="91" spans="5:6" ht="16.2" customHeight="1" x14ac:dyDescent="0.25">
      <c r="E91" s="127" t="s">
        <v>4676</v>
      </c>
      <c r="F91" s="127" t="s">
        <v>4690</v>
      </c>
    </row>
    <row r="92" spans="5:6" ht="16.2" customHeight="1" x14ac:dyDescent="0.25">
      <c r="E92" s="127" t="s">
        <v>4677</v>
      </c>
      <c r="F92" s="127" t="s">
        <v>4691</v>
      </c>
    </row>
    <row r="93" spans="5:6" ht="16.2" customHeight="1" x14ac:dyDescent="0.25">
      <c r="E93" s="127" t="s">
        <v>4678</v>
      </c>
      <c r="F93" s="127" t="s">
        <v>4692</v>
      </c>
    </row>
    <row r="94" spans="5:6" ht="16.2" customHeight="1" x14ac:dyDescent="0.25">
      <c r="E94" s="127" t="s">
        <v>4679</v>
      </c>
      <c r="F94" s="127" t="s">
        <v>4693</v>
      </c>
    </row>
    <row r="95" spans="5:6" ht="16.2" customHeight="1" x14ac:dyDescent="0.25">
      <c r="E95" s="127" t="s">
        <v>4680</v>
      </c>
      <c r="F95" s="127" t="s">
        <v>4694</v>
      </c>
    </row>
    <row r="96" spans="5:6" ht="16.2" customHeight="1" x14ac:dyDescent="0.25">
      <c r="E96" s="127" t="s">
        <v>4695</v>
      </c>
      <c r="F96" s="127" t="s">
        <v>4696</v>
      </c>
    </row>
  </sheetData>
  <phoneticPr fontId="8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V247"/>
  <sheetViews>
    <sheetView zoomScale="70" zoomScaleNormal="70" workbookViewId="0">
      <pane xSplit="1" topLeftCell="U1" activePane="topRight" state="frozen"/>
      <selection pane="topRight" activeCell="AF12" sqref="AF12"/>
    </sheetView>
  </sheetViews>
  <sheetFormatPr defaultColWidth="9" defaultRowHeight="16.2" customHeight="1" x14ac:dyDescent="0.25"/>
  <cols>
    <col min="1" max="1" width="9" style="178" customWidth="1"/>
    <col min="2" max="39" width="9" style="178"/>
    <col min="40" max="40" width="9.109375" style="178" customWidth="1"/>
    <col min="41" max="41" width="10" style="178" customWidth="1"/>
    <col min="42" max="49" width="9.109375" style="178" customWidth="1"/>
    <col min="50" max="71" width="9" style="178"/>
    <col min="72" max="72" width="9" style="178" customWidth="1"/>
    <col min="73" max="73" width="10" style="178" customWidth="1"/>
    <col min="74" max="16384" width="9" style="178"/>
  </cols>
  <sheetData>
    <row r="1" spans="1:74" ht="16.2" customHeight="1" x14ac:dyDescent="0.25">
      <c r="B1" s="179" t="s">
        <v>723</v>
      </c>
      <c r="T1" s="194" t="s">
        <v>56</v>
      </c>
      <c r="U1" s="194" t="s">
        <v>724</v>
      </c>
      <c r="V1" s="194" t="s">
        <v>61</v>
      </c>
      <c r="W1" s="194" t="s">
        <v>724</v>
      </c>
      <c r="X1" s="194" t="s">
        <v>63</v>
      </c>
      <c r="Y1" s="194" t="s">
        <v>724</v>
      </c>
      <c r="Z1" s="194" t="s">
        <v>725</v>
      </c>
      <c r="AA1" s="194" t="s">
        <v>724</v>
      </c>
      <c r="AC1" s="635" t="s">
        <v>726</v>
      </c>
      <c r="AD1" s="636"/>
      <c r="AE1" s="195" t="s">
        <v>727</v>
      </c>
      <c r="AF1" s="196" t="s">
        <v>728</v>
      </c>
      <c r="AH1" s="178" t="s">
        <v>729</v>
      </c>
      <c r="AI1" s="178" t="s">
        <v>68</v>
      </c>
      <c r="AJ1" s="178" t="s">
        <v>730</v>
      </c>
      <c r="AK1" s="178" t="s">
        <v>54</v>
      </c>
      <c r="AL1" s="178" t="s">
        <v>68</v>
      </c>
      <c r="AN1" s="208" t="s">
        <v>731</v>
      </c>
      <c r="AO1" s="216" t="s">
        <v>732</v>
      </c>
      <c r="AP1" s="216" t="s">
        <v>733</v>
      </c>
      <c r="AQ1" s="216" t="s">
        <v>734</v>
      </c>
      <c r="AR1" s="216" t="s">
        <v>735</v>
      </c>
      <c r="AS1" s="216" t="s">
        <v>736</v>
      </c>
      <c r="AT1" s="216" t="s">
        <v>737</v>
      </c>
      <c r="AU1" s="216" t="s">
        <v>738</v>
      </c>
      <c r="AV1" s="216" t="s">
        <v>739</v>
      </c>
      <c r="AW1" s="216" t="s">
        <v>740</v>
      </c>
      <c r="AX1" s="219" t="s">
        <v>186</v>
      </c>
      <c r="AY1" s="220" t="s">
        <v>741</v>
      </c>
      <c r="AZ1" s="216" t="s">
        <v>732</v>
      </c>
      <c r="BA1" s="216" t="s">
        <v>733</v>
      </c>
      <c r="BB1" s="216" t="s">
        <v>734</v>
      </c>
      <c r="BC1" s="216" t="s">
        <v>735</v>
      </c>
      <c r="BD1" s="216" t="s">
        <v>736</v>
      </c>
      <c r="BF1" s="315" t="s">
        <v>285</v>
      </c>
      <c r="BG1" s="314" t="s">
        <v>81</v>
      </c>
      <c r="BH1" s="316" t="s">
        <v>4313</v>
      </c>
      <c r="BI1" s="178">
        <f>T2</f>
        <v>0</v>
      </c>
      <c r="BJ1" s="178" t="e">
        <f>VLOOKUP(主要!E6,BF1:BG13,2,0)</f>
        <v>#N/A</v>
      </c>
      <c r="BK1" s="178" t="e">
        <f>VLOOKUP(主要!E6,BF1:BH13,3,0)</f>
        <v>#N/A</v>
      </c>
      <c r="BM1" s="178" t="s">
        <v>68</v>
      </c>
      <c r="BN1" s="178" t="s">
        <v>38</v>
      </c>
      <c r="BO1" s="178" t="s">
        <v>39</v>
      </c>
      <c r="BP1" s="178" t="s">
        <v>742</v>
      </c>
      <c r="BQ1" s="178" t="s">
        <v>743</v>
      </c>
      <c r="BR1" s="637" t="s">
        <v>744</v>
      </c>
      <c r="BS1" s="638"/>
      <c r="BT1" s="178" t="s">
        <v>68</v>
      </c>
      <c r="BU1" s="178" t="s">
        <v>745</v>
      </c>
      <c r="BV1" s="178" t="s">
        <v>746</v>
      </c>
    </row>
    <row r="2" spans="1:74" ht="16.2" customHeight="1" x14ac:dyDescent="0.25">
      <c r="A2" s="180"/>
      <c r="B2" s="180">
        <v>0</v>
      </c>
      <c r="C2" s="180">
        <v>1</v>
      </c>
      <c r="D2" s="180">
        <v>2</v>
      </c>
      <c r="E2" s="180">
        <v>3</v>
      </c>
      <c r="F2" s="180">
        <v>4</v>
      </c>
      <c r="G2" s="180">
        <v>5</v>
      </c>
      <c r="H2" s="180">
        <v>6</v>
      </c>
      <c r="I2" s="180">
        <v>7</v>
      </c>
      <c r="J2" s="180">
        <v>8</v>
      </c>
      <c r="K2" s="180">
        <v>9</v>
      </c>
      <c r="L2" s="180">
        <v>10</v>
      </c>
      <c r="M2" s="180">
        <v>11</v>
      </c>
      <c r="N2" s="180">
        <v>12</v>
      </c>
      <c r="O2" s="180">
        <v>13</v>
      </c>
      <c r="P2" s="180">
        <v>14</v>
      </c>
      <c r="Q2" s="180">
        <v>15</v>
      </c>
      <c r="R2" s="180">
        <v>16</v>
      </c>
      <c r="T2" s="178">
        <f>主要!E6</f>
        <v>0</v>
      </c>
      <c r="U2" s="194" t="str">
        <f>IFERROR(IF(VLOOKUP(T2,B3:R22,2,FALSE)=0,"",VLOOKUP(T2,B3:R22,2,FALSE)),"")</f>
        <v/>
      </c>
      <c r="V2" s="178">
        <f>主要!E7</f>
        <v>0</v>
      </c>
      <c r="W2" s="194" t="str">
        <f>IFERROR(IF(VLOOKUP(V2,B3:R22,2,FALSE)=0,"",VLOOKUP(V2,B3:R22,2,FALSE)),"")</f>
        <v/>
      </c>
      <c r="X2" s="178">
        <f>主要!E8</f>
        <v>0</v>
      </c>
      <c r="Y2" s="194" t="str">
        <f>IFERROR(IF(VLOOKUP(X2,B3:R22,2,FALSE)=0,"",VLOOKUP(X2,B3:R22,2,FALSE)),"")</f>
        <v/>
      </c>
      <c r="Z2" s="178">
        <f>主要!AW9</f>
        <v>0</v>
      </c>
      <c r="AA2" s="194" t="str">
        <f>IFERROR(IF(VLOOKUP(Z2,B3:R22,2,FALSE)=0,"",VLOOKUP(Z2,B3:R22,2,FALSE)),"")</f>
        <v/>
      </c>
      <c r="AC2" s="197" t="s">
        <v>285</v>
      </c>
      <c r="AD2" s="196" t="s">
        <v>747</v>
      </c>
      <c r="AE2" s="145" t="str">
        <f>IFERROR(VLOOKUP(主要!E6,AC2:AD14,2,FALSE),"")</f>
        <v/>
      </c>
      <c r="AF2" s="198">
        <f>IFERROR(VLOOKUP(AE2,AC16:AD19,2,FALSE),0)</f>
        <v>0</v>
      </c>
      <c r="AH2" s="178" t="s">
        <v>748</v>
      </c>
      <c r="AI2" s="178">
        <f>IFERROR(VLOOKUP(AH2,$AJ$2:$AL$4,3,0),0)</f>
        <v>0</v>
      </c>
      <c r="AJ2" s="178">
        <f>IF(主要!E6="",0,主要!E6)</f>
        <v>0</v>
      </c>
      <c r="AK2" s="178">
        <f>IF(主要!I6="",0,主要!I6)</f>
        <v>0</v>
      </c>
      <c r="AL2" s="178">
        <f>IF(主要!O6="",0,主要!O6)</f>
        <v>1</v>
      </c>
      <c r="AN2" s="209">
        <v>0</v>
      </c>
      <c r="AY2" s="209">
        <v>0</v>
      </c>
      <c r="BF2" s="315" t="s">
        <v>267</v>
      </c>
      <c r="BG2" s="314" t="s">
        <v>83</v>
      </c>
      <c r="BH2" s="316" t="s">
        <v>4314</v>
      </c>
      <c r="BL2" s="194" t="str">
        <f>IF(主要!AW9&lt;&gt;"",主要!AW9,"")</f>
        <v/>
      </c>
      <c r="BM2" s="194" t="str">
        <f>IFERROR(VLOOKUP(BL2,BF16:BK28,2,FALSE),"")</f>
        <v/>
      </c>
      <c r="BN2" s="194" t="str">
        <f>IFERROR(VLOOKUP(BL2,BF16:BK28,3,FALSE),"")</f>
        <v/>
      </c>
      <c r="BO2" s="194" t="str">
        <f>IFERROR(VLOOKUP(BL2,BF16:BK28,4,FALSE),"")</f>
        <v/>
      </c>
      <c r="BP2" s="194" t="str">
        <f>IFERROR(VLOOKUP(BL2,BF16:BK28,5,FALSE),"")</f>
        <v/>
      </c>
      <c r="BQ2" s="194" t="str">
        <f>IFERROR(VLOOKUP(BL2,BF16:BK28,6,FALSE),"")</f>
        <v/>
      </c>
      <c r="BR2" s="223" t="str">
        <f t="shared" ref="BR2:BR33" si="0">IFERROR(IF(OR(BM6="",COUNTIF($BU$2:$BU$58,BM6)),"",BM6),"")</f>
        <v/>
      </c>
      <c r="BS2" s="224" t="str" cm="1">
        <f t="array" ref="BS2">INDEX(BR:BR,SMALL(IF($BR$2:$BR$101&lt;&gt;"",ROW($BR$2:$BR$101),142),ROW(BR1)))&amp;""</f>
        <v/>
      </c>
      <c r="BT2" s="225" t="str">
        <f>IFERROR(VLOOKUP(BU2,$BM$5:$BO$105,3,FALSE),"")</f>
        <v/>
      </c>
      <c r="BU2" s="194" t="str">
        <f>IF(主要!AX11="","",主要!AX11)</f>
        <v/>
      </c>
      <c r="BV2" s="194" t="str">
        <f t="shared" ref="BV2:BV30" si="1">IFERROR(VLOOKUP(BU2,$BM$6:$BN$105,2,FALSE),"")</f>
        <v/>
      </c>
    </row>
    <row r="3" spans="1:74" ht="16.2" customHeight="1" x14ac:dyDescent="0.25">
      <c r="A3" s="180">
        <v>1</v>
      </c>
      <c r="B3" s="180" t="s">
        <v>748</v>
      </c>
      <c r="C3" s="180" t="s">
        <v>749</v>
      </c>
      <c r="D3" s="180" t="s">
        <v>750</v>
      </c>
      <c r="E3" s="180" t="s">
        <v>751</v>
      </c>
      <c r="F3" s="180" t="s">
        <v>752</v>
      </c>
      <c r="G3" s="180"/>
      <c r="H3" s="180"/>
      <c r="I3" s="180"/>
      <c r="J3" s="180"/>
      <c r="K3" s="180"/>
      <c r="L3" s="180"/>
      <c r="M3" s="180"/>
      <c r="N3" s="180"/>
      <c r="O3" s="180"/>
      <c r="P3" s="180"/>
      <c r="Q3" s="180"/>
      <c r="R3" s="180"/>
      <c r="U3" s="194" t="str">
        <f>IFERROR(IF(VLOOKUP(T2,B3:R22,3,FALSE)=0,"",VLOOKUP(T2,B3:R22,3,FALSE)),"")</f>
        <v/>
      </c>
      <c r="W3" s="194" t="str">
        <f>IFERROR(IF(VLOOKUP(V2,B3:R22,3,FALSE)=0,"",VLOOKUP(V2,B3:R22,3,FALSE)),"")</f>
        <v/>
      </c>
      <c r="Y3" s="194" t="str">
        <f>IFERROR(IF(VLOOKUP(X2,B3:R22,3,FALSE)=0,"",VLOOKUP(X2,B3:R22,3,FALSE)),"")</f>
        <v/>
      </c>
      <c r="AA3" s="194" t="str">
        <f>IFERROR(IF(VLOOKUP(Z2,B3:R22,3,FALSE)=0,"",VLOOKUP(Z2,B3:R22,3,FALSE)),"")</f>
        <v/>
      </c>
      <c r="AC3" s="199" t="s">
        <v>267</v>
      </c>
      <c r="AD3" s="198" t="s">
        <v>747</v>
      </c>
      <c r="AE3" s="145" t="str">
        <f>IFERROR(VLOOKUP(主要!E7,AC2:AD14,2,FALSE),"")</f>
        <v/>
      </c>
      <c r="AF3" s="198">
        <f>IFERROR(VLOOKUP(AE3,AC16:AD19,2,FALSE),0)</f>
        <v>0</v>
      </c>
      <c r="AH3" s="178" t="s">
        <v>216</v>
      </c>
      <c r="AI3" s="178">
        <f t="shared" ref="AI3:AI12" si="2">IFERROR(VLOOKUP(AH3,$AJ$2:$AL$4,3,0),0)</f>
        <v>0</v>
      </c>
      <c r="AJ3" s="178">
        <f>IF(主要!E7="",0,主要!E7)</f>
        <v>0</v>
      </c>
      <c r="AK3" s="178">
        <f>IF(主要!I7="",0,主要!I7)</f>
        <v>0</v>
      </c>
      <c r="AL3" s="178">
        <f>IF(主要!O7="",0,主要!O7)</f>
        <v>0</v>
      </c>
      <c r="AN3" s="210">
        <v>1</v>
      </c>
      <c r="AO3" s="217">
        <v>2</v>
      </c>
      <c r="AP3" s="217"/>
      <c r="AQ3" s="217"/>
      <c r="AR3" s="217"/>
      <c r="AS3" s="217"/>
      <c r="AT3" s="217"/>
      <c r="AU3" s="217"/>
      <c r="AV3" s="217"/>
      <c r="AW3" s="217"/>
      <c r="AX3" s="217">
        <v>4</v>
      </c>
      <c r="AY3" s="210">
        <v>1</v>
      </c>
      <c r="AZ3" s="217">
        <v>1</v>
      </c>
      <c r="BA3" s="217"/>
      <c r="BB3" s="217"/>
      <c r="BC3" s="217"/>
      <c r="BD3" s="217"/>
      <c r="BF3" s="315" t="s">
        <v>216</v>
      </c>
      <c r="BG3" s="314" t="s">
        <v>83</v>
      </c>
      <c r="BH3" s="316" t="s">
        <v>4325</v>
      </c>
      <c r="BL3" s="194" t="str">
        <f>IF(主要!BD9&lt;&gt;"",主要!BD9,"")</f>
        <v/>
      </c>
      <c r="BN3" s="178" t="s">
        <v>753</v>
      </c>
      <c r="BO3" s="178" t="s">
        <v>753</v>
      </c>
      <c r="BP3" s="194" t="str">
        <f>IFERROR(VLOOKUP(BL3,BH30:BJ89,2,FALSE),"")</f>
        <v/>
      </c>
      <c r="BQ3" s="194" t="str">
        <f>IFERROR(VLOOKUP(BL3,BH30:BJ89,3,FALSE),"")</f>
        <v/>
      </c>
      <c r="BR3" s="223" t="str">
        <f t="shared" si="0"/>
        <v/>
      </c>
      <c r="BS3" s="224" t="str" cm="1">
        <f t="array" ref="BS3">INDEX(BR:BR,SMALL(IF($BR$2:$BR$101&lt;&gt;"",ROW($BR$2:$BR$101),142),ROW(BR2)))&amp;""</f>
        <v/>
      </c>
      <c r="BT3" s="225" t="str">
        <f t="shared" ref="BT3:BT30" si="3">IFERROR(VLOOKUP(BU3,$BM$5:$BO$105,3,FALSE),"")</f>
        <v/>
      </c>
      <c r="BU3" s="194" t="str">
        <f>IF(主要!AX12="","",主要!AX12)</f>
        <v/>
      </c>
      <c r="BV3" s="194" t="str">
        <f t="shared" si="1"/>
        <v/>
      </c>
    </row>
    <row r="4" spans="1:74" ht="16.2" customHeight="1" x14ac:dyDescent="0.25">
      <c r="A4" s="180">
        <v>2</v>
      </c>
      <c r="B4" s="180" t="s">
        <v>216</v>
      </c>
      <c r="C4" s="180" t="s">
        <v>754</v>
      </c>
      <c r="D4" s="180" t="s">
        <v>755</v>
      </c>
      <c r="E4" s="180" t="s">
        <v>756</v>
      </c>
      <c r="F4" s="180" t="s">
        <v>757</v>
      </c>
      <c r="G4" s="180" t="s">
        <v>4418</v>
      </c>
      <c r="H4" s="180"/>
      <c r="I4" s="180"/>
      <c r="J4" s="180"/>
      <c r="K4" s="180"/>
      <c r="L4" s="180"/>
      <c r="M4" s="180"/>
      <c r="N4" s="180"/>
      <c r="O4" s="180"/>
      <c r="P4" s="180"/>
      <c r="Q4" s="180"/>
      <c r="R4" s="180"/>
      <c r="U4" s="194" t="str">
        <f>IFERROR(IF(VLOOKUP(T2,B3:R22,4,FALSE)=0,"",VLOOKUP(T2,B3:R22,4,FALSE)),"")</f>
        <v/>
      </c>
      <c r="W4" s="194" t="str">
        <f>IFERROR(IF(VLOOKUP(V2,B3:R22,4,FALSE)=0,"",VLOOKUP(V2,B3:R22,4,FALSE)),"")</f>
        <v/>
      </c>
      <c r="Y4" s="194" t="str">
        <f>IFERROR(IF(VLOOKUP(X2,B3:R22,4,FALSE)=0,"",VLOOKUP(X2,B3:R22,4,FALSE)),"")</f>
        <v/>
      </c>
      <c r="AA4" s="194" t="str">
        <f>IFERROR(IF(VLOOKUP(Z2,B3:R22,4,FALSE)=0,"",VLOOKUP(Z2,B3:R22,4,FALSE)),"")</f>
        <v/>
      </c>
      <c r="AC4" s="199" t="s">
        <v>216</v>
      </c>
      <c r="AD4" s="198" t="s">
        <v>758</v>
      </c>
      <c r="AE4" s="144" t="str">
        <f>IFERROR(VLOOKUP(主要!E8,AC2:AD14,2,FALSE),"")</f>
        <v/>
      </c>
      <c r="AF4" s="200">
        <f>IFERROR(VLOOKUP(AE4,AC16:AD19,2,FALSE),0)</f>
        <v>0</v>
      </c>
      <c r="AH4" s="178" t="s">
        <v>227</v>
      </c>
      <c r="AI4" s="178">
        <f t="shared" si="2"/>
        <v>0</v>
      </c>
      <c r="AJ4" s="178">
        <f>IF(主要!E8="",0,主要!E8)</f>
        <v>0</v>
      </c>
      <c r="AK4" s="178">
        <f>IF(主要!I8="",0,主要!I8)</f>
        <v>0</v>
      </c>
      <c r="AL4" s="178">
        <f>IF(主要!O8="",0,主要!O8)</f>
        <v>0</v>
      </c>
      <c r="AN4" s="208">
        <v>2</v>
      </c>
      <c r="AO4" s="216">
        <v>3</v>
      </c>
      <c r="AP4" s="216"/>
      <c r="AQ4" s="216"/>
      <c r="AR4" s="216"/>
      <c r="AS4" s="216"/>
      <c r="AT4" s="216"/>
      <c r="AU4" s="216"/>
      <c r="AV4" s="216"/>
      <c r="AW4" s="216"/>
      <c r="AX4" s="216">
        <v>6</v>
      </c>
      <c r="AY4" s="208">
        <v>2</v>
      </c>
      <c r="AZ4" s="216">
        <v>2</v>
      </c>
      <c r="BA4" s="216"/>
      <c r="BB4" s="216"/>
      <c r="BC4" s="216"/>
      <c r="BD4" s="216"/>
      <c r="BF4" s="315" t="s">
        <v>227</v>
      </c>
      <c r="BG4" s="314" t="s">
        <v>82</v>
      </c>
      <c r="BH4" s="316" t="s">
        <v>4315</v>
      </c>
      <c r="BR4" s="223" t="str">
        <f t="shared" si="0"/>
        <v/>
      </c>
      <c r="BS4" s="224" t="str" cm="1">
        <f t="array" ref="BS4">INDEX(BR:BR,SMALL(IF($BR$2:$BR$101&lt;&gt;"",ROW($BR$2:$BR$101),142),ROW(BR3)))&amp;""</f>
        <v/>
      </c>
      <c r="BT4" s="225" t="str">
        <f t="shared" si="3"/>
        <v/>
      </c>
      <c r="BU4" s="194" t="str">
        <f>IF(主要!AX13="","",主要!AX13)</f>
        <v/>
      </c>
      <c r="BV4" s="194" t="str">
        <f t="shared" si="1"/>
        <v/>
      </c>
    </row>
    <row r="5" spans="1:74" ht="16.2" customHeight="1" x14ac:dyDescent="0.25">
      <c r="A5" s="180">
        <v>3</v>
      </c>
      <c r="B5" s="180" t="s">
        <v>227</v>
      </c>
      <c r="C5" s="181" t="s">
        <v>759</v>
      </c>
      <c r="D5" s="181" t="s">
        <v>760</v>
      </c>
      <c r="E5" s="181" t="s">
        <v>761</v>
      </c>
      <c r="F5" s="181" t="s">
        <v>762</v>
      </c>
      <c r="G5" s="181" t="s">
        <v>4427</v>
      </c>
      <c r="H5" s="181"/>
      <c r="I5" s="181"/>
      <c r="J5" s="181"/>
      <c r="K5" s="181"/>
      <c r="L5" s="181"/>
      <c r="M5" s="181"/>
      <c r="N5" s="181"/>
      <c r="O5" s="181"/>
      <c r="P5" s="180"/>
      <c r="Q5" s="180"/>
      <c r="R5" s="180"/>
      <c r="U5" s="194" t="str">
        <f>IFERROR(IF(VLOOKUP(T2,B3:R22,5,FALSE)=0,"",VLOOKUP(T2,B3:R22,5,FALSE)),"")</f>
        <v/>
      </c>
      <c r="W5" s="194" t="str">
        <f>IFERROR(IF(VLOOKUP(V2,B3:R22,5,FALSE)=0,"",VLOOKUP(V2,B3:R22,5,FALSE)),"")</f>
        <v/>
      </c>
      <c r="Y5" s="194" t="str">
        <f>IFERROR(IF(VLOOKUP(X2,B3:R22,5,FALSE)=0,"",VLOOKUP(X2,B3:R22,5,FALSE)),"")</f>
        <v/>
      </c>
      <c r="AA5" s="194" t="str">
        <f>IFERROR(IF(VLOOKUP(Z2,B3:R22,5,FALSE)=0,"",VLOOKUP(Z2,B3:R22,5,FALSE)),"")</f>
        <v/>
      </c>
      <c r="AC5" s="199" t="s">
        <v>227</v>
      </c>
      <c r="AD5" s="198" t="s">
        <v>758</v>
      </c>
      <c r="AE5" s="127"/>
      <c r="AF5" s="127"/>
      <c r="AH5" s="178" t="s">
        <v>237</v>
      </c>
      <c r="AI5" s="178">
        <f t="shared" si="2"/>
        <v>0</v>
      </c>
      <c r="AN5" s="210">
        <v>3</v>
      </c>
      <c r="AO5" s="217">
        <v>4</v>
      </c>
      <c r="AP5" s="217">
        <v>2</v>
      </c>
      <c r="AQ5" s="217"/>
      <c r="AR5" s="217"/>
      <c r="AS5" s="217"/>
      <c r="AT5" s="217"/>
      <c r="AU5" s="217"/>
      <c r="AV5" s="217"/>
      <c r="AW5" s="217"/>
      <c r="AX5" s="217">
        <v>14</v>
      </c>
      <c r="AY5" s="210">
        <v>3</v>
      </c>
      <c r="AZ5" s="217"/>
      <c r="BA5" s="217">
        <v>2</v>
      </c>
      <c r="BB5" s="217"/>
      <c r="BC5" s="217"/>
      <c r="BD5" s="217"/>
      <c r="BF5" s="315" t="s">
        <v>237</v>
      </c>
      <c r="BG5" s="314" t="s">
        <v>82</v>
      </c>
      <c r="BH5" s="317" t="s">
        <v>4326</v>
      </c>
      <c r="BL5" s="194">
        <v>0</v>
      </c>
      <c r="BM5" s="194" t="s">
        <v>38</v>
      </c>
      <c r="BN5" s="194" t="s">
        <v>39</v>
      </c>
      <c r="BO5" s="194"/>
      <c r="BP5" s="194" t="s">
        <v>763</v>
      </c>
      <c r="BR5" s="223" t="str">
        <f t="shared" si="0"/>
        <v/>
      </c>
      <c r="BS5" s="224" t="str" cm="1">
        <f t="array" ref="BS5">INDEX(BR:BR,SMALL(IF($BR$2:$BR$101&lt;&gt;"",ROW($BR$2:$BR$101),142),ROW(BR4)))&amp;""</f>
        <v/>
      </c>
      <c r="BT5" s="225" t="str">
        <f t="shared" si="3"/>
        <v/>
      </c>
      <c r="BU5" s="194" t="str">
        <f>IF(主要!AX14="","",主要!AX14)</f>
        <v/>
      </c>
      <c r="BV5" s="194" t="str">
        <f t="shared" si="1"/>
        <v/>
      </c>
    </row>
    <row r="6" spans="1:74" ht="16.2" customHeight="1" x14ac:dyDescent="0.25">
      <c r="A6" s="180">
        <v>4</v>
      </c>
      <c r="B6" s="180" t="s">
        <v>237</v>
      </c>
      <c r="C6" s="181" t="s">
        <v>764</v>
      </c>
      <c r="D6" s="181" t="s">
        <v>765</v>
      </c>
      <c r="E6" s="181" t="s">
        <v>766</v>
      </c>
      <c r="F6" s="182" t="s">
        <v>767</v>
      </c>
      <c r="G6" s="182"/>
      <c r="H6" s="182"/>
      <c r="I6" s="182"/>
      <c r="J6" s="181"/>
      <c r="K6" s="181"/>
      <c r="L6" s="181"/>
      <c r="M6" s="181"/>
      <c r="N6" s="181"/>
      <c r="O6" s="181"/>
      <c r="P6" s="180"/>
      <c r="Q6" s="180"/>
      <c r="R6" s="180"/>
      <c r="U6" s="194" t="str">
        <f>IFERROR(IF(VLOOKUP(T2,B3:R22,6,FALSE)=0,"",VLOOKUP(T2,B3:R22,6,FALSE)),"")</f>
        <v/>
      </c>
      <c r="W6" s="194" t="str">
        <f>IFERROR(IF(VLOOKUP(V2,B3:R22,6,FALSE)=0,"",VLOOKUP(V2,B3:R22,6,FALSE)),"")</f>
        <v/>
      </c>
      <c r="Y6" s="194" t="str">
        <f>IFERROR(IF(VLOOKUP(X2,B3:R22,6,FALSE)=0,"",VLOOKUP(X2,B3:R22,6,FALSE)),"")</f>
        <v/>
      </c>
      <c r="AA6" s="194" t="str">
        <f>IFERROR(IF(VLOOKUP(Z2,B3:R22,6,FALSE)=0,"",VLOOKUP(Z2,B3:R22,6,FALSE)),"")</f>
        <v/>
      </c>
      <c r="AC6" s="199" t="s">
        <v>237</v>
      </c>
      <c r="AD6" s="198" t="s">
        <v>758</v>
      </c>
      <c r="AE6" s="201" t="s">
        <v>768</v>
      </c>
      <c r="AF6" s="201">
        <f>主要!O6+主要!O7+主要!O8</f>
        <v>1</v>
      </c>
      <c r="AH6" s="178" t="s">
        <v>769</v>
      </c>
      <c r="AI6" s="178">
        <f t="shared" si="2"/>
        <v>0</v>
      </c>
      <c r="AK6" s="178" t="s">
        <v>770</v>
      </c>
      <c r="AL6" s="178">
        <f>IF(AK2="奥法骑士",AL2,IF(AK3="奥法骑士",AL3,IF(AK4="奥法骑士",AL4,0)))</f>
        <v>0</v>
      </c>
      <c r="AN6" s="208">
        <v>4</v>
      </c>
      <c r="AO6" s="216">
        <v>4</v>
      </c>
      <c r="AP6" s="216">
        <v>3</v>
      </c>
      <c r="AQ6" s="216"/>
      <c r="AR6" s="216"/>
      <c r="AS6" s="216"/>
      <c r="AT6" s="216"/>
      <c r="AU6" s="216"/>
      <c r="AV6" s="216"/>
      <c r="AW6" s="216"/>
      <c r="AX6" s="216">
        <v>17</v>
      </c>
      <c r="AY6" s="208">
        <v>4</v>
      </c>
      <c r="AZ6" s="216"/>
      <c r="BA6" s="216">
        <v>2</v>
      </c>
      <c r="BB6" s="216"/>
      <c r="BC6" s="216"/>
      <c r="BD6" s="216"/>
      <c r="BF6" s="315" t="s">
        <v>774</v>
      </c>
      <c r="BG6" s="314" t="s">
        <v>82</v>
      </c>
      <c r="BH6" s="317" t="s">
        <v>4316</v>
      </c>
      <c r="BL6" s="194">
        <f>IFERROR(IF(BL5+1&gt;BQ2,IF(BL5+1&gt;BQ2,IF(BP3+BP5&gt;BQ3,"",BP3+BP5)),BL5+1),"")</f>
        <v>1</v>
      </c>
      <c r="BM6" s="194" t="str" cm="1">
        <f t="array" ref="BM6">IFERROR(INDEX(B31:BC180,BL6,BN2),"")</f>
        <v/>
      </c>
      <c r="BN6" s="194" t="str" cm="1">
        <f t="array" ref="BN6">IFERROR(INDEX(B31:BC180,BL6,BO2),"")</f>
        <v/>
      </c>
      <c r="BO6" s="194" t="str" cm="1">
        <f t="array" ref="BO6">IF(IFERROR(INDEX($B$31:$BC$180,BL6,$BM$2),"")=0,"",IFERROR(INDEX($B$31:$BC$180,BL6,$BM$2),""))</f>
        <v/>
      </c>
      <c r="BP6" s="194">
        <f>IFERROR(IF(BL5+1&gt;BQ2,BP5+1,0),"")</f>
        <v>0</v>
      </c>
      <c r="BR6" s="223" t="str">
        <f t="shared" si="0"/>
        <v/>
      </c>
      <c r="BS6" s="224" t="str" cm="1">
        <f t="array" ref="BS6">INDEX(BR:BR,SMALL(IF($BR$2:$BR$101&lt;&gt;"",ROW($BR$2:$BR$101),142),ROW(BR5)))&amp;""</f>
        <v/>
      </c>
      <c r="BT6" s="225" t="str">
        <f t="shared" si="3"/>
        <v/>
      </c>
      <c r="BU6" s="194" t="str">
        <f>IF(主要!AX15="","",主要!AX15)</f>
        <v/>
      </c>
      <c r="BV6" s="194" t="str">
        <f t="shared" si="1"/>
        <v/>
      </c>
    </row>
    <row r="7" spans="1:74" ht="16.2" customHeight="1" x14ac:dyDescent="0.25">
      <c r="A7" s="180">
        <v>5</v>
      </c>
      <c r="B7" s="180" t="s">
        <v>769</v>
      </c>
      <c r="C7" s="181" t="s">
        <v>771</v>
      </c>
      <c r="D7" s="181" t="s">
        <v>772</v>
      </c>
      <c r="E7" s="181" t="s">
        <v>770</v>
      </c>
      <c r="F7" s="181" t="s">
        <v>773</v>
      </c>
      <c r="G7" s="181" t="s">
        <v>4451</v>
      </c>
      <c r="H7" s="181"/>
      <c r="I7" s="181"/>
      <c r="J7" s="181"/>
      <c r="K7" s="181"/>
      <c r="L7" s="181"/>
      <c r="M7" s="181"/>
      <c r="N7" s="181"/>
      <c r="O7" s="181"/>
      <c r="P7" s="180"/>
      <c r="Q7" s="180"/>
      <c r="R7" s="180"/>
      <c r="U7" s="194" t="str">
        <f>IFERROR(IF(VLOOKUP(T2,B3:R22,7,FALSE)=0,"",VLOOKUP(T2,B3:R22,7,FALSE)),"")</f>
        <v/>
      </c>
      <c r="W7" s="194" t="str">
        <f>IFERROR(IF(VLOOKUP(V2,B3:R22,7,FALSE)=0,"",VLOOKUP(V2,B3:R22,7,FALSE)),"")</f>
        <v/>
      </c>
      <c r="Y7" s="194" t="str">
        <f>IFERROR(IF(VLOOKUP(X2,B3:R22,7,FALSE)=0,"",VLOOKUP(X2,B3:R22,7,FALSE)),"")</f>
        <v/>
      </c>
      <c r="AA7" s="194" t="str">
        <f>IFERROR(IF(VLOOKUP(Z2,B3:R22,7,FALSE)=0,"",VLOOKUP(Z2,B3:R22,7,FALSE)),"")</f>
        <v/>
      </c>
      <c r="AC7" s="199" t="s">
        <v>774</v>
      </c>
      <c r="AD7" s="198" t="s">
        <v>758</v>
      </c>
      <c r="AE7" s="201" t="s">
        <v>775</v>
      </c>
      <c r="AF7" s="201">
        <f>IFERROR(VLOOKUP(AE2,AC21:AD24,2,FALSE),0)</f>
        <v>0</v>
      </c>
      <c r="AH7" s="178" t="s">
        <v>774</v>
      </c>
      <c r="AI7" s="178">
        <f t="shared" si="2"/>
        <v>0</v>
      </c>
      <c r="AK7" s="178" t="s">
        <v>776</v>
      </c>
      <c r="AL7" s="178">
        <f>IF(AK2="诡术师",AL2,IF(AK3="诡术师",AL3,IF(AK4="诡术师",AL4,0)))</f>
        <v>0</v>
      </c>
      <c r="AN7" s="210">
        <v>5</v>
      </c>
      <c r="AO7" s="217">
        <v>4</v>
      </c>
      <c r="AP7" s="217">
        <v>3</v>
      </c>
      <c r="AQ7" s="217">
        <v>2</v>
      </c>
      <c r="AR7" s="217"/>
      <c r="AS7" s="217"/>
      <c r="AT7" s="217"/>
      <c r="AU7" s="217"/>
      <c r="AV7" s="217"/>
      <c r="AW7" s="217"/>
      <c r="AX7" s="217">
        <v>27</v>
      </c>
      <c r="AY7" s="210">
        <v>5</v>
      </c>
      <c r="AZ7" s="217"/>
      <c r="BA7" s="217"/>
      <c r="BB7" s="217">
        <v>2</v>
      </c>
      <c r="BC7" s="217"/>
      <c r="BD7" s="217"/>
      <c r="BF7" s="315" t="s">
        <v>781</v>
      </c>
      <c r="BG7" s="314" t="str">
        <f>IF(COUNTIF(主要!I6,"*诡术师*"),"智力","敏捷")</f>
        <v>敏捷</v>
      </c>
      <c r="BH7" s="317" t="s">
        <v>4317</v>
      </c>
      <c r="BL7" s="194">
        <f>IFERROR(IF(BL6+1&gt;BQ2,IF(BL6+1&gt;BQ2,IF(BP3+BP6&gt;BQ3,"",BP3+BP6)),BL6+1),"")</f>
        <v>2</v>
      </c>
      <c r="BM7" s="194" t="str" cm="1">
        <f t="array" ref="BM7">IFERROR(INDEX(B31:BC180,BL7,BN2),"")</f>
        <v/>
      </c>
      <c r="BN7" s="194" t="str" cm="1">
        <f t="array" ref="BN7">IFERROR(INDEX(B31:BC180,BL7,BO2),"")</f>
        <v/>
      </c>
      <c r="BO7" s="194" t="str" cm="1">
        <f t="array" ref="BO7">IF(IFERROR(INDEX($B$31:$BC$180,BL7,$BM$2),"")=0,"",IFERROR(INDEX($B$31:$BC$180,BL7,$BM$2),""))</f>
        <v/>
      </c>
      <c r="BP7" s="194">
        <f>IFERROR(IF(BL6+1&gt;BQ2,BP6+1,0),"")</f>
        <v>0</v>
      </c>
      <c r="BR7" s="223" t="str">
        <f t="shared" si="0"/>
        <v/>
      </c>
      <c r="BS7" s="224" t="str" cm="1">
        <f t="array" ref="BS7">INDEX(BR:BR,SMALL(IF($BR$2:$BR$101&lt;&gt;"",ROW($BR$2:$BR$101),142),ROW(BR6)))&amp;""</f>
        <v/>
      </c>
      <c r="BT7" s="225" t="str">
        <f t="shared" si="3"/>
        <v/>
      </c>
      <c r="BU7" s="194" t="str">
        <f>IF(主要!AX16="","",主要!AX16)</f>
        <v/>
      </c>
      <c r="BV7" s="194" t="str">
        <f t="shared" si="1"/>
        <v/>
      </c>
    </row>
    <row r="8" spans="1:74" ht="16.2" customHeight="1" x14ac:dyDescent="0.25">
      <c r="A8" s="180">
        <v>6</v>
      </c>
      <c r="B8" s="180" t="s">
        <v>774</v>
      </c>
      <c r="C8" s="181" t="s">
        <v>777</v>
      </c>
      <c r="D8" s="181" t="s">
        <v>778</v>
      </c>
      <c r="E8" s="181" t="s">
        <v>779</v>
      </c>
      <c r="F8" s="181" t="s">
        <v>780</v>
      </c>
      <c r="G8" s="181"/>
      <c r="H8" s="181"/>
      <c r="I8" s="181"/>
      <c r="J8" s="181"/>
      <c r="K8" s="181"/>
      <c r="L8" s="181"/>
      <c r="M8" s="181"/>
      <c r="N8" s="181"/>
      <c r="O8" s="181"/>
      <c r="P8" s="180"/>
      <c r="Q8" s="180"/>
      <c r="R8" s="180"/>
      <c r="U8" s="194" t="str">
        <f>IFERROR(IF(VLOOKUP(T2,B3:R22,8,FALSE)=0,"",VLOOKUP(T2,B3:R22,8,FALSE)),"")</f>
        <v/>
      </c>
      <c r="W8" s="194" t="str">
        <f>IFERROR(IF(VLOOKUP(V2,B3:R22,8,FALSE)=0,"",VLOOKUP(V2,B3:R22,8,FALSE)),"")</f>
        <v/>
      </c>
      <c r="Y8" s="194" t="str">
        <f>IFERROR(IF(VLOOKUP(X2,B3:R22,8,FALSE)=0,"",VLOOKUP(X2,B3:R22,8,FALSE)),"")</f>
        <v/>
      </c>
      <c r="AA8" s="194" t="str">
        <f>IFERROR(IF(VLOOKUP(Z2,B3:R22,8,FALSE)=0,"",VLOOKUP(Z2,B3:R22,8,FALSE)),"")</f>
        <v/>
      </c>
      <c r="AC8" s="199" t="s">
        <v>781</v>
      </c>
      <c r="AD8" s="198" t="s">
        <v>758</v>
      </c>
      <c r="AH8" s="178" t="s">
        <v>248</v>
      </c>
      <c r="AI8" s="178">
        <f t="shared" si="2"/>
        <v>0</v>
      </c>
      <c r="AN8" s="208">
        <v>6</v>
      </c>
      <c r="AO8" s="216">
        <v>4</v>
      </c>
      <c r="AP8" s="216">
        <v>3</v>
      </c>
      <c r="AQ8" s="216">
        <v>3</v>
      </c>
      <c r="AR8" s="216"/>
      <c r="AS8" s="216"/>
      <c r="AT8" s="216"/>
      <c r="AU8" s="216"/>
      <c r="AV8" s="216"/>
      <c r="AW8" s="216"/>
      <c r="AX8" s="216">
        <v>32</v>
      </c>
      <c r="AY8" s="208">
        <v>6</v>
      </c>
      <c r="AZ8" s="216"/>
      <c r="BA8" s="216"/>
      <c r="BB8" s="216">
        <v>2</v>
      </c>
      <c r="BC8" s="216"/>
      <c r="BD8" s="216"/>
      <c r="BF8" s="318" t="s">
        <v>4318</v>
      </c>
      <c r="BG8" s="314" t="s">
        <v>83</v>
      </c>
      <c r="BH8" s="317" t="s">
        <v>4319</v>
      </c>
      <c r="BL8" s="194">
        <f>IFERROR(IF(BL7+1&gt;BQ2,IF(BL7+1&gt;BQ2,IF(BP3+BP7&gt;BQ3,"",BP3+BP7)),BL7+1),"")</f>
        <v>3</v>
      </c>
      <c r="BM8" s="194" t="str" cm="1">
        <f t="array" ref="BM8">IFERROR(INDEX(B31:BC180,BL8,BN2),"")</f>
        <v/>
      </c>
      <c r="BN8" s="194" t="str" cm="1">
        <f t="array" ref="BN8">IFERROR(INDEX(B31:BC180,BL8,BO2),"")</f>
        <v/>
      </c>
      <c r="BO8" s="194" t="str" cm="1">
        <f t="array" ref="BO8">IF(IFERROR(INDEX($B$31:$BC$180,BL8,$BM$2),"")=0,"",IFERROR(INDEX($B$31:$BC$180,BL8,$BM$2),""))</f>
        <v/>
      </c>
      <c r="BP8" s="194">
        <f>IFERROR(IF(BL7+1&gt;BQ2,BP7+1,0),"")</f>
        <v>0</v>
      </c>
      <c r="BR8" s="223" t="str">
        <f t="shared" si="0"/>
        <v/>
      </c>
      <c r="BS8" s="224" t="str" cm="1">
        <f t="array" ref="BS8">INDEX(BR:BR,SMALL(IF($BR$2:$BR$101&lt;&gt;"",ROW($BR$2:$BR$101),142),ROW(BR7)))&amp;""</f>
        <v/>
      </c>
      <c r="BT8" s="225" t="str">
        <f t="shared" si="3"/>
        <v/>
      </c>
      <c r="BU8" s="194" t="str">
        <f>IF(主要!AX17="","",主要!AX17)</f>
        <v/>
      </c>
      <c r="BV8" s="194" t="str">
        <f t="shared" si="1"/>
        <v/>
      </c>
    </row>
    <row r="9" spans="1:74" ht="16.2" customHeight="1" x14ac:dyDescent="0.25">
      <c r="A9" s="180">
        <v>7</v>
      </c>
      <c r="B9" s="180" t="s">
        <v>248</v>
      </c>
      <c r="C9" s="181" t="s">
        <v>782</v>
      </c>
      <c r="D9" s="181" t="s">
        <v>783</v>
      </c>
      <c r="E9" s="181" t="s">
        <v>784</v>
      </c>
      <c r="F9" s="181" t="s">
        <v>785</v>
      </c>
      <c r="G9" s="181" t="s">
        <v>4452</v>
      </c>
      <c r="H9" s="181"/>
      <c r="I9" s="181"/>
      <c r="J9" s="181"/>
      <c r="K9" s="181"/>
      <c r="L9" s="181"/>
      <c r="M9" s="181"/>
      <c r="N9" s="181"/>
      <c r="O9" s="181"/>
      <c r="P9" s="180"/>
      <c r="Q9" s="180"/>
      <c r="R9" s="180"/>
      <c r="U9" s="194" t="str">
        <f>IFERROR(IF(VLOOKUP(T2,B3:R22,9,FALSE)=0,"",VLOOKUP(T2,B3:R22,9,FALSE)),"")</f>
        <v/>
      </c>
      <c r="W9" s="194" t="str">
        <f>IFERROR(IF(VLOOKUP(V2,B3:R22,9,FALSE)=0,"",VLOOKUP(V2,B3:R22,9,FALSE)),"")</f>
        <v/>
      </c>
      <c r="Y9" s="194" t="str">
        <f>IFERROR(IF(VLOOKUP(X2,B3:R22,9,FALSE)=0,"",VLOOKUP(X2,B3:R22,9,FALSE)),"")</f>
        <v/>
      </c>
      <c r="AA9" s="194" t="str">
        <f>IFERROR(IF(VLOOKUP(Z2,B3:R22,9,FALSE)=0,"",VLOOKUP(Z2,B3:R22,9,FALSE)),"")</f>
        <v/>
      </c>
      <c r="AC9" s="199" t="s">
        <v>277</v>
      </c>
      <c r="AD9" s="198" t="s">
        <v>758</v>
      </c>
      <c r="AE9" s="178" t="s">
        <v>786</v>
      </c>
      <c r="AF9" s="178">
        <f>$AI$3+$AI$4+$AI$5+$AI$11+$AI$13</f>
        <v>0</v>
      </c>
      <c r="AH9" s="178" t="s">
        <v>257</v>
      </c>
      <c r="AI9" s="178">
        <f t="shared" si="2"/>
        <v>0</v>
      </c>
      <c r="AN9" s="210">
        <v>7</v>
      </c>
      <c r="AO9" s="217">
        <v>4</v>
      </c>
      <c r="AP9" s="217">
        <v>3</v>
      </c>
      <c r="AQ9" s="217">
        <v>3</v>
      </c>
      <c r="AR9" s="217">
        <v>1</v>
      </c>
      <c r="AS9" s="217"/>
      <c r="AT9" s="217"/>
      <c r="AU9" s="217"/>
      <c r="AV9" s="217"/>
      <c r="AW9" s="217"/>
      <c r="AX9" s="217">
        <v>38</v>
      </c>
      <c r="AY9" s="210">
        <v>7</v>
      </c>
      <c r="AZ9" s="217"/>
      <c r="BA9" s="217"/>
      <c r="BB9" s="217"/>
      <c r="BC9" s="217">
        <v>2</v>
      </c>
      <c r="BD9" s="217"/>
      <c r="BF9" s="315" t="s">
        <v>791</v>
      </c>
      <c r="BG9" s="314" t="s">
        <v>81</v>
      </c>
      <c r="BH9" s="317" t="s">
        <v>4312</v>
      </c>
      <c r="BL9" s="194">
        <f>IFERROR(IF(BL8+1&gt;BQ2,IF(BL8+1&gt;BQ2,IF(BP3+BP8&gt;BQ3,"",BP3+BP8)),BL8+1),"")</f>
        <v>4</v>
      </c>
      <c r="BM9" s="194" t="str" cm="1">
        <f t="array" ref="BM9">IFERROR(INDEX(B31:BC180,BL9,BN2),"")</f>
        <v/>
      </c>
      <c r="BN9" s="194" t="str" cm="1">
        <f t="array" ref="BN9">IFERROR(INDEX(B31:BC180,BL9,BO2),"")</f>
        <v/>
      </c>
      <c r="BO9" s="194" t="str" cm="1">
        <f t="array" ref="BO9">IF(IFERROR(INDEX($B$31:$BC$180,BL9,$BM$2),"")=0,"",IFERROR(INDEX($B$31:$BC$180,BL9,$BM$2),""))</f>
        <v/>
      </c>
      <c r="BP9" s="194">
        <f>IFERROR(IF(BL8+1&gt;BQ2,BP8+1,0),"")</f>
        <v>0</v>
      </c>
      <c r="BR9" s="223" t="str">
        <f t="shared" si="0"/>
        <v/>
      </c>
      <c r="BS9" s="224" t="str" cm="1">
        <f t="array" ref="BS9">INDEX(BR:BR,SMALL(IF($BR$2:$BR$101&lt;&gt;"",ROW($BR$2:$BR$101),142),ROW(BR8)))&amp;""</f>
        <v/>
      </c>
      <c r="BT9" s="225" t="str">
        <f t="shared" si="3"/>
        <v/>
      </c>
      <c r="BU9" s="194" t="str">
        <f>IF(主要!AX18="","",主要!AX18)</f>
        <v/>
      </c>
      <c r="BV9" s="194" t="str">
        <f t="shared" si="1"/>
        <v/>
      </c>
    </row>
    <row r="10" spans="1:74" ht="16.2" customHeight="1" x14ac:dyDescent="0.25">
      <c r="A10" s="180">
        <v>8</v>
      </c>
      <c r="B10" s="180" t="s">
        <v>257</v>
      </c>
      <c r="C10" s="181" t="s">
        <v>787</v>
      </c>
      <c r="D10" s="181" t="s">
        <v>788</v>
      </c>
      <c r="E10" s="181" t="s">
        <v>789</v>
      </c>
      <c r="F10" s="181" t="s">
        <v>790</v>
      </c>
      <c r="G10" s="181" t="s">
        <v>4465</v>
      </c>
      <c r="H10" s="181"/>
      <c r="I10" s="181"/>
      <c r="J10" s="181"/>
      <c r="K10" s="181"/>
      <c r="L10" s="181"/>
      <c r="M10" s="181"/>
      <c r="N10" s="181"/>
      <c r="O10" s="181"/>
      <c r="P10" s="180"/>
      <c r="Q10" s="180"/>
      <c r="R10" s="180"/>
      <c r="U10" s="194" t="str">
        <f>IFERROR(IF(VLOOKUP(T2,B3:R22,10,FALSE)=0,"",VLOOKUP(T2,B3:R22,10,FALSE)),"")</f>
        <v/>
      </c>
      <c r="W10" s="194" t="str">
        <f>IFERROR(IF(VLOOKUP(V2,B3:R22,10,FALSE)=0,"",VLOOKUP(V2,B3:R22,10,FALSE)),"")</f>
        <v/>
      </c>
      <c r="Y10" s="194" t="str">
        <f>IFERROR(IF(VLOOKUP(X2,B3:R22,10,FALSE)=0,"",VLOOKUP(X2,B3:R22,10,FALSE)),"")</f>
        <v/>
      </c>
      <c r="AA10" s="194" t="str">
        <f>IFERROR(IF(VLOOKUP(Z2,B3:R22,10,FALSE)=0,"",VLOOKUP(Z2,B3:R22,10,FALSE)),"")</f>
        <v/>
      </c>
      <c r="AC10" s="199" t="s">
        <v>791</v>
      </c>
      <c r="AD10" s="198" t="s">
        <v>758</v>
      </c>
      <c r="AE10" s="178" t="s">
        <v>792</v>
      </c>
      <c r="AF10" s="178">
        <f>ROUNDUP(($AI$8+$AI$9+$AI$14)/2,0)</f>
        <v>0</v>
      </c>
      <c r="AH10" s="178" t="s">
        <v>781</v>
      </c>
      <c r="AI10" s="178">
        <f t="shared" si="2"/>
        <v>0</v>
      </c>
      <c r="AN10" s="208">
        <v>8</v>
      </c>
      <c r="AO10" s="216">
        <v>4</v>
      </c>
      <c r="AP10" s="216">
        <v>3</v>
      </c>
      <c r="AQ10" s="216">
        <v>3</v>
      </c>
      <c r="AR10" s="216">
        <v>2</v>
      </c>
      <c r="AS10" s="216"/>
      <c r="AT10" s="216"/>
      <c r="AU10" s="216"/>
      <c r="AV10" s="216"/>
      <c r="AW10" s="216"/>
      <c r="AX10" s="216">
        <v>44</v>
      </c>
      <c r="AY10" s="208">
        <v>8</v>
      </c>
      <c r="AZ10" s="216"/>
      <c r="BA10" s="216"/>
      <c r="BB10" s="216"/>
      <c r="BC10" s="216">
        <v>2</v>
      </c>
      <c r="BD10" s="216"/>
      <c r="BF10" s="315" t="s">
        <v>769</v>
      </c>
      <c r="BG10" s="314" t="str">
        <f>IF(OR(COUNTIF(主要!I6,"*奥法骑士*"),COUNTIF(主要!I6,"*灵能武士*"),COUNTIF(主要!I6,"*魔射手*")),"智力",IF(COUNTIF(主要!I6,"*符文骑士*"),"体质",IF(DEX&gt;STR,"敏捷","力量")))</f>
        <v>力量</v>
      </c>
      <c r="BH10" s="317" t="s">
        <v>4321</v>
      </c>
      <c r="BL10" s="194">
        <f>IFERROR(IF(BL9+1&gt;BQ2,IF(BL9+1&gt;BQ2,IF(BP3+BP9&gt;BQ3,"",BP3+BP9)),BL9+1),"")</f>
        <v>5</v>
      </c>
      <c r="BM10" s="194" t="str" cm="1">
        <f t="array" ref="BM10">IFERROR(INDEX(B31:BC180,BL10,BN2),"")</f>
        <v/>
      </c>
      <c r="BN10" s="194" t="str" cm="1">
        <f t="array" ref="BN10">IFERROR(INDEX(B31:BC180,BL10,BO2),"")</f>
        <v/>
      </c>
      <c r="BO10" s="194" t="str" cm="1">
        <f t="array" ref="BO10">IF(IFERROR(INDEX($B$31:$BC$180,BL10,$BM$2),"")=0,"",IFERROR(INDEX($B$31:$BC$180,BL10,$BM$2),""))</f>
        <v/>
      </c>
      <c r="BP10" s="194">
        <f>IFERROR(IF(BL9+1&gt;BQ2,BP9+1,0),"")</f>
        <v>0</v>
      </c>
      <c r="BR10" s="223" t="str">
        <f t="shared" si="0"/>
        <v/>
      </c>
      <c r="BS10" s="224" t="str" cm="1">
        <f t="array" ref="BS10">INDEX(BR:BR,SMALL(IF($BR$2:$BR$101&lt;&gt;"",ROW($BR$2:$BR$101),142),ROW(BR9)))&amp;""</f>
        <v/>
      </c>
      <c r="BT10" s="225" t="str">
        <f t="shared" si="3"/>
        <v/>
      </c>
      <c r="BU10" s="194" t="str">
        <f>IF(主要!AX19="","",主要!AX19)</f>
        <v/>
      </c>
      <c r="BV10" s="194" t="str">
        <f t="shared" si="1"/>
        <v/>
      </c>
    </row>
    <row r="11" spans="1:74" ht="16.2" customHeight="1" x14ac:dyDescent="0.25">
      <c r="A11" s="180">
        <v>9</v>
      </c>
      <c r="B11" s="180" t="s">
        <v>781</v>
      </c>
      <c r="C11" s="181" t="s">
        <v>776</v>
      </c>
      <c r="D11" s="181" t="s">
        <v>793</v>
      </c>
      <c r="E11" s="181" t="s">
        <v>794</v>
      </c>
      <c r="F11" s="181" t="s">
        <v>795</v>
      </c>
      <c r="G11" s="181" t="s">
        <v>4478</v>
      </c>
      <c r="H11" s="181"/>
      <c r="I11" s="181"/>
      <c r="J11" s="181"/>
      <c r="K11" s="181"/>
      <c r="L11" s="181"/>
      <c r="M11" s="181"/>
      <c r="N11" s="181"/>
      <c r="O11" s="181"/>
      <c r="P11" s="180"/>
      <c r="Q11" s="180"/>
      <c r="R11" s="180"/>
      <c r="U11" s="194" t="str">
        <f>IFERROR(IF(VLOOKUP(T2,B3:R22,11,FALSE)=0,"",VLOOKUP(T2,B3:R22,11,FALSE)),"")</f>
        <v/>
      </c>
      <c r="W11" s="194" t="str">
        <f>IFERROR(IF(VLOOKUP(V2,B3:R22,11,FALSE)=0,"",VLOOKUP(V2,B3:R22,11,FALSE)),"")</f>
        <v/>
      </c>
      <c r="Y11" s="194" t="str">
        <f>IFERROR(IF(VLOOKUP(X2,B3:R22,11,FALSE)=0,"",VLOOKUP(X2,B3:R22,11,FALSE)),"")</f>
        <v/>
      </c>
      <c r="AA11" s="194" t="str">
        <f>IFERROR(IF(VLOOKUP(Z2,B3:R22,11,FALSE)=0,"",VLOOKUP(Z2,B3:R22,11,FALSE)),"")</f>
        <v/>
      </c>
      <c r="AC11" s="199" t="s">
        <v>769</v>
      </c>
      <c r="AD11" s="198" t="s">
        <v>796</v>
      </c>
      <c r="AE11" s="178" t="s">
        <v>797</v>
      </c>
      <c r="AF11" s="178">
        <f>IF(AF9=0,IF(AF10=0,ROUNDUP((AL6+AL7)/3,0),ROUNDDOWN((AL6+AL7)/3,0)),ROUNDDOWN((AL6+AL7)/3,0))</f>
        <v>0</v>
      </c>
      <c r="AH11" s="178" t="s">
        <v>267</v>
      </c>
      <c r="AI11" s="178">
        <f t="shared" si="2"/>
        <v>0</v>
      </c>
      <c r="AN11" s="210">
        <v>9</v>
      </c>
      <c r="AO11" s="217">
        <v>4</v>
      </c>
      <c r="AP11" s="217">
        <v>3</v>
      </c>
      <c r="AQ11" s="217">
        <v>3</v>
      </c>
      <c r="AR11" s="217">
        <v>3</v>
      </c>
      <c r="AS11" s="217">
        <v>1</v>
      </c>
      <c r="AT11" s="217"/>
      <c r="AU11" s="217"/>
      <c r="AV11" s="217"/>
      <c r="AW11" s="217"/>
      <c r="AX11" s="217">
        <v>57</v>
      </c>
      <c r="AY11" s="210">
        <v>9</v>
      </c>
      <c r="AZ11" s="217"/>
      <c r="BA11" s="217"/>
      <c r="BB11" s="217"/>
      <c r="BC11" s="217"/>
      <c r="BD11" s="217">
        <v>3</v>
      </c>
      <c r="BF11" s="315" t="s">
        <v>248</v>
      </c>
      <c r="BG11" s="314" t="s">
        <v>83</v>
      </c>
      <c r="BH11" s="317" t="s">
        <v>4320</v>
      </c>
      <c r="BL11" s="194">
        <f>IFERROR(IF(BL10+1&gt;BQ2,IF(BL10+1&gt;BQ2,IF(BP3+BP10&gt;BQ3,"",BP3+BP10)),BL10+1),"")</f>
        <v>6</v>
      </c>
      <c r="BM11" s="194" t="str" cm="1">
        <f t="array" ref="BM11">IFERROR(INDEX(B31:BC180,BL11,BN2),"")</f>
        <v/>
      </c>
      <c r="BN11" s="194" t="str" cm="1">
        <f t="array" ref="BN11">IFERROR(INDEX(B31:BC180,BL11,BO2),"")</f>
        <v/>
      </c>
      <c r="BO11" s="194" t="str" cm="1">
        <f t="array" ref="BO11">IF(IFERROR(INDEX($B$31:$BC$180,BL11,$BM$2),"")=0,"",IFERROR(INDEX($B$31:$BC$180,BL11,$BM$2),""))</f>
        <v/>
      </c>
      <c r="BP11" s="194">
        <f>IFERROR(IF(BL10+1&gt;BQ2,BP10+1,0),"")</f>
        <v>0</v>
      </c>
      <c r="BR11" s="223" t="str">
        <f t="shared" si="0"/>
        <v/>
      </c>
      <c r="BS11" s="224" t="str" cm="1">
        <f t="array" ref="BS11">INDEX(BR:BR,SMALL(IF($BR$2:$BR$101&lt;&gt;"",ROW($BR$2:$BR$101),142),ROW(BR10)))&amp;""</f>
        <v/>
      </c>
      <c r="BT11" s="225" t="str">
        <f t="shared" si="3"/>
        <v/>
      </c>
      <c r="BU11" s="194" t="str">
        <f>IF(主要!AX20="","",主要!AX20)</f>
        <v/>
      </c>
      <c r="BV11" s="194" t="str">
        <f t="shared" si="1"/>
        <v/>
      </c>
    </row>
    <row r="12" spans="1:74" ht="16.2" customHeight="1" x14ac:dyDescent="0.25">
      <c r="A12" s="180">
        <v>10</v>
      </c>
      <c r="B12" s="180" t="s">
        <v>267</v>
      </c>
      <c r="C12" s="181" t="s">
        <v>798</v>
      </c>
      <c r="D12" s="181" t="s">
        <v>799</v>
      </c>
      <c r="E12" s="181" t="s">
        <v>800</v>
      </c>
      <c r="F12" s="181" t="s">
        <v>801</v>
      </c>
      <c r="G12" s="181" t="s">
        <v>4489</v>
      </c>
      <c r="H12" s="181"/>
      <c r="I12" s="181"/>
      <c r="J12" s="181"/>
      <c r="K12" s="181"/>
      <c r="L12" s="181"/>
      <c r="M12" s="181"/>
      <c r="N12" s="181"/>
      <c r="O12" s="181"/>
      <c r="P12" s="180"/>
      <c r="Q12" s="180"/>
      <c r="R12" s="180"/>
      <c r="U12" s="194" t="str">
        <f>IFERROR(IF(VLOOKUP(T2,B3:R22,12,FALSE)=0,"",VLOOKUP(T2,B3:R22,12,FALSE)),"")</f>
        <v/>
      </c>
      <c r="W12" s="194" t="str">
        <f>IFERROR(IF(VLOOKUP(V2,B3:R22,12,FALSE)=0,"",VLOOKUP(V2,B3:R22,12,FALSE)),"")</f>
        <v/>
      </c>
      <c r="Y12" s="194" t="str">
        <f>IFERROR(IF(VLOOKUP(X2,B3:R22,12,FALSE)=0,"",VLOOKUP(X2,B3:R22,12,FALSE)),"")</f>
        <v/>
      </c>
      <c r="AA12" s="194" t="str">
        <f>IFERROR(IF(VLOOKUP(Z2,B3:R22,12,FALSE)=0,"",VLOOKUP(Z2,B3:R22,12,FALSE)),"")</f>
        <v/>
      </c>
      <c r="AC12" s="199" t="s">
        <v>248</v>
      </c>
      <c r="AD12" s="198" t="s">
        <v>796</v>
      </c>
      <c r="AH12" s="178" t="s">
        <v>277</v>
      </c>
      <c r="AI12" s="178">
        <f t="shared" si="2"/>
        <v>0</v>
      </c>
      <c r="AN12" s="208">
        <v>10</v>
      </c>
      <c r="AO12" s="216">
        <v>4</v>
      </c>
      <c r="AP12" s="216">
        <v>3</v>
      </c>
      <c r="AQ12" s="216">
        <v>3</v>
      </c>
      <c r="AR12" s="216">
        <v>3</v>
      </c>
      <c r="AS12" s="216">
        <v>2</v>
      </c>
      <c r="AT12" s="216"/>
      <c r="AU12" s="216"/>
      <c r="AV12" s="216"/>
      <c r="AW12" s="216"/>
      <c r="AX12" s="216">
        <v>64</v>
      </c>
      <c r="AY12" s="208">
        <v>10</v>
      </c>
      <c r="AZ12" s="216"/>
      <c r="BA12" s="216"/>
      <c r="BB12" s="216"/>
      <c r="BC12" s="216"/>
      <c r="BD12" s="216">
        <v>3</v>
      </c>
      <c r="BF12" s="315" t="s">
        <v>257</v>
      </c>
      <c r="BG12" s="314" t="s">
        <v>82</v>
      </c>
      <c r="BH12" s="316" t="s">
        <v>4322</v>
      </c>
      <c r="BL12" s="194">
        <f>IFERROR(IF(BL11+1&gt;BQ2,IF(BL11+1&gt;BQ2,IF(BP3+BP11&gt;BQ3,"",BP3+BP11)),BL11+1),"")</f>
        <v>7</v>
      </c>
      <c r="BM12" s="194" t="str" cm="1">
        <f t="array" ref="BM12">IFERROR(INDEX(B31:BC180,BL12,BN2),"")</f>
        <v/>
      </c>
      <c r="BN12" s="194" t="str" cm="1">
        <f t="array" ref="BN12">IFERROR(INDEX(B31:BC180,BL12,BO2),"")</f>
        <v/>
      </c>
      <c r="BO12" s="194" t="str" cm="1">
        <f t="array" ref="BO12">IF(IFERROR(INDEX($B$31:$BC$180,BL12,$BM$2),"")=0,"",IFERROR(INDEX($B$31:$BC$180,BL12,$BM$2),""))</f>
        <v/>
      </c>
      <c r="BP12" s="194">
        <f>IFERROR(IF(BL11+1&gt;BQ2,BP11+1,0),"")</f>
        <v>0</v>
      </c>
      <c r="BR12" s="223" t="str">
        <f t="shared" si="0"/>
        <v/>
      </c>
      <c r="BS12" s="224" t="str" cm="1">
        <f t="array" ref="BS12">INDEX(BR:BR,SMALL(IF($BR$2:$BR$101&lt;&gt;"",ROW($BR$2:$BR$101),142),ROW(BR11)))&amp;""</f>
        <v/>
      </c>
      <c r="BT12" s="225" t="str">
        <f t="shared" si="3"/>
        <v/>
      </c>
      <c r="BU12" s="194" t="str">
        <f>IF(主要!AX21="","",主要!AX21)</f>
        <v/>
      </c>
      <c r="BV12" s="194" t="str">
        <f t="shared" si="1"/>
        <v/>
      </c>
    </row>
    <row r="13" spans="1:74" ht="16.2" customHeight="1" x14ac:dyDescent="0.25">
      <c r="A13" s="180">
        <v>11</v>
      </c>
      <c r="B13" s="180" t="s">
        <v>277</v>
      </c>
      <c r="C13" s="181" t="s">
        <v>802</v>
      </c>
      <c r="D13" s="181" t="s">
        <v>803</v>
      </c>
      <c r="E13" s="181" t="s">
        <v>804</v>
      </c>
      <c r="F13" s="181" t="s">
        <v>805</v>
      </c>
      <c r="G13" s="181"/>
      <c r="H13" s="181"/>
      <c r="I13" s="181"/>
      <c r="J13" s="181"/>
      <c r="K13" s="181"/>
      <c r="L13" s="181"/>
      <c r="M13" s="181"/>
      <c r="N13" s="181"/>
      <c r="O13" s="181"/>
      <c r="P13" s="180"/>
      <c r="Q13" s="180"/>
      <c r="R13" s="180"/>
      <c r="U13" s="194" t="str">
        <f>IFERROR(IF(VLOOKUP(T2,B3:R22,13,FALSE)=0,"",VLOOKUP(T2,B3:R22,13,FALSE)),"")</f>
        <v/>
      </c>
      <c r="W13" s="194" t="str">
        <f>IFERROR(IF(VLOOKUP(V2,B3:R22,13,FALSE)=0,"",VLOOKUP(V2,B3:R22,13,FALSE)),"")</f>
        <v/>
      </c>
      <c r="Y13" s="194" t="str">
        <f>IFERROR(IF(VLOOKUP(X2,B3:R22,13,FALSE)=0,"",VLOOKUP(X2,B3:R22,13,FALSE)),"")</f>
        <v/>
      </c>
      <c r="AA13" s="194" t="str">
        <f>IFERROR(IF(VLOOKUP(Z2,B3:R22,13,FALSE)=0,"",VLOOKUP(Z2,B3:R22,13,FALSE)),"")</f>
        <v/>
      </c>
      <c r="AC13" s="199" t="s">
        <v>257</v>
      </c>
      <c r="AD13" s="198" t="s">
        <v>796</v>
      </c>
      <c r="AH13" s="178" t="s">
        <v>4697</v>
      </c>
      <c r="AI13" s="178">
        <f>IFERROR(VLOOKUP(AH13,$AJ$2:$AL$4,3,0),0)</f>
        <v>0</v>
      </c>
      <c r="AN13" s="210">
        <v>11</v>
      </c>
      <c r="AO13" s="217">
        <v>4</v>
      </c>
      <c r="AP13" s="217">
        <v>3</v>
      </c>
      <c r="AQ13" s="217">
        <v>3</v>
      </c>
      <c r="AR13" s="217">
        <v>3</v>
      </c>
      <c r="AS13" s="217">
        <v>2</v>
      </c>
      <c r="AT13" s="217">
        <v>1</v>
      </c>
      <c r="AU13" s="217"/>
      <c r="AV13" s="217"/>
      <c r="AW13" s="217"/>
      <c r="AX13" s="217">
        <v>73</v>
      </c>
      <c r="AY13" s="210">
        <v>11</v>
      </c>
      <c r="AZ13" s="217"/>
      <c r="BA13" s="217"/>
      <c r="BB13" s="217"/>
      <c r="BC13" s="217"/>
      <c r="BD13" s="217">
        <v>3</v>
      </c>
      <c r="BF13" s="315" t="s">
        <v>748</v>
      </c>
      <c r="BG13" s="314" t="s">
        <v>80</v>
      </c>
      <c r="BH13" s="316" t="s">
        <v>4323</v>
      </c>
      <c r="BL13" s="194">
        <f>IFERROR(IF(BL12+1&gt;BQ2,IF(BL12+1&gt;BQ2,IF(BP3+BP12&gt;BQ3,"",BP3+BP12)),BL12+1),"")</f>
        <v>8</v>
      </c>
      <c r="BM13" s="194" t="str" cm="1">
        <f t="array" ref="BM13">IFERROR(INDEX(B31:BC180,BL13,BN2),"")</f>
        <v/>
      </c>
      <c r="BN13" s="194" t="str" cm="1">
        <f t="array" ref="BN13">IFERROR(INDEX(B31:BC180,BL13,BO2),"")</f>
        <v/>
      </c>
      <c r="BO13" s="194" t="str" cm="1">
        <f t="array" ref="BO13">IF(IFERROR(INDEX($B$31:$BC$180,BL13,$BM$2),"")=0,"",IFERROR(INDEX($B$31:$BC$180,BL13,$BM$2),""))</f>
        <v/>
      </c>
      <c r="BP13" s="194">
        <f>IFERROR(IF(BL12+1&gt;BQ2,BP12+1,0),"")</f>
        <v>0</v>
      </c>
      <c r="BR13" s="223" t="str">
        <f t="shared" si="0"/>
        <v/>
      </c>
      <c r="BS13" s="224" t="str" cm="1">
        <f t="array" ref="BS13">INDEX(BR:BR,SMALL(IF($BR$2:$BR$101&lt;&gt;"",ROW($BR$2:$BR$101),142),ROW(BR12)))&amp;""</f>
        <v/>
      </c>
      <c r="BT13" s="225" t="str">
        <f t="shared" si="3"/>
        <v/>
      </c>
      <c r="BU13" s="194" t="str">
        <f>IF(主要!AX22="","",主要!AX22)</f>
        <v/>
      </c>
      <c r="BV13" s="194" t="str">
        <f t="shared" si="1"/>
        <v/>
      </c>
    </row>
    <row r="14" spans="1:74" ht="16.2" customHeight="1" x14ac:dyDescent="0.25">
      <c r="A14" s="180">
        <v>12</v>
      </c>
      <c r="B14" s="180" t="s">
        <v>285</v>
      </c>
      <c r="C14" s="181" t="s">
        <v>806</v>
      </c>
      <c r="D14" s="181" t="s">
        <v>807</v>
      </c>
      <c r="E14" s="181" t="s">
        <v>808</v>
      </c>
      <c r="F14" s="181" t="s">
        <v>809</v>
      </c>
      <c r="G14" s="181" t="s">
        <v>4500</v>
      </c>
      <c r="H14" s="181"/>
      <c r="I14" s="181"/>
      <c r="J14" s="181"/>
      <c r="K14" s="181"/>
      <c r="L14" s="181"/>
      <c r="M14" s="181"/>
      <c r="N14" s="181"/>
      <c r="O14" s="181"/>
      <c r="P14" s="180"/>
      <c r="Q14" s="180"/>
      <c r="R14" s="180"/>
      <c r="U14" s="194" t="str">
        <f>IFERROR(IF(VLOOKUP(T2,B3:R22,14,FALSE)=0,"",VLOOKUP(T2,B3:R22,14,FALSE)),"")</f>
        <v/>
      </c>
      <c r="W14" s="194" t="str">
        <f>IFERROR(IF(VLOOKUP(V2,B3:R22,14,FALSE)=0,"",VLOOKUP(V2,B3:R22,14,FALSE)),"")</f>
        <v/>
      </c>
      <c r="Y14" s="194" t="str">
        <f>IFERROR(IF(VLOOKUP(X2,B3:R22,14,FALSE)=0,"",VLOOKUP(X2,B3:R22,14,FALSE)),"")</f>
        <v/>
      </c>
      <c r="AA14" s="194" t="str">
        <f>IFERROR(IF(VLOOKUP(Z2,B3:R22,14,FALSE)=0,"",VLOOKUP(Z2,B3:R22,14,FALSE)),"")</f>
        <v/>
      </c>
      <c r="AC14" s="202" t="s">
        <v>748</v>
      </c>
      <c r="AD14" s="200" t="s">
        <v>810</v>
      </c>
      <c r="AE14" s="203" t="s">
        <v>811</v>
      </c>
      <c r="AF14" s="204">
        <f>AF9+AF10+AF11</f>
        <v>0</v>
      </c>
      <c r="AH14" s="178" t="s">
        <v>4324</v>
      </c>
      <c r="AI14" s="178">
        <f>IFERROR(VLOOKUP(AH14,$AJ$2:$AL$4,3,0),0)</f>
        <v>0</v>
      </c>
      <c r="AN14" s="208">
        <v>12</v>
      </c>
      <c r="AO14" s="216">
        <v>4</v>
      </c>
      <c r="AP14" s="216">
        <v>3</v>
      </c>
      <c r="AQ14" s="216">
        <v>3</v>
      </c>
      <c r="AR14" s="216">
        <v>3</v>
      </c>
      <c r="AS14" s="216">
        <v>2</v>
      </c>
      <c r="AT14" s="216">
        <v>1</v>
      </c>
      <c r="AU14" s="216"/>
      <c r="AV14" s="216"/>
      <c r="AW14" s="216"/>
      <c r="AX14" s="216">
        <v>73</v>
      </c>
      <c r="AY14" s="208">
        <v>12</v>
      </c>
      <c r="AZ14" s="216"/>
      <c r="BA14" s="216"/>
      <c r="BB14" s="216"/>
      <c r="BC14" s="216"/>
      <c r="BD14" s="216">
        <v>3</v>
      </c>
      <c r="BL14" s="194">
        <f>IFERROR(IF(BL13+1&gt;BQ2,IF(BL13+1&gt;BQ2,IF(BP3+BP13&gt;BQ3,"",BP3+BP13)),BL13+1),"")</f>
        <v>9</v>
      </c>
      <c r="BM14" s="194" t="str" cm="1">
        <f t="array" ref="BM14">IFERROR(INDEX(B31:BC180,BL14,BN2),"")</f>
        <v/>
      </c>
      <c r="BN14" s="194" t="str" cm="1">
        <f t="array" ref="BN14">IFERROR(INDEX(B31:BC180,BL14,BO2),"")</f>
        <v/>
      </c>
      <c r="BO14" s="194" t="str" cm="1">
        <f t="array" ref="BO14">IF(IFERROR(INDEX($B$31:$BC$180,BL14,$BM$2),"")=0,"",IFERROR(INDEX($B$31:$BC$180,BL14,$BM$2),""))</f>
        <v/>
      </c>
      <c r="BP14" s="194">
        <f>IFERROR(IF(BL13+1&gt;BQ2,BP13+1,0),"")</f>
        <v>0</v>
      </c>
      <c r="BR14" s="223" t="str">
        <f t="shared" si="0"/>
        <v/>
      </c>
      <c r="BS14" s="224" t="str" cm="1">
        <f t="array" ref="BS14">INDEX(BR:BR,SMALL(IF($BR$2:$BR$101&lt;&gt;"",ROW($BR$2:$BR$101),142),ROW(BR13)))&amp;""</f>
        <v/>
      </c>
      <c r="BT14" s="225" t="str">
        <f t="shared" si="3"/>
        <v/>
      </c>
      <c r="BU14" s="194" t="str">
        <f>IF(主要!AX23="","",主要!AX23)</f>
        <v/>
      </c>
      <c r="BV14" s="194" t="str">
        <f t="shared" si="1"/>
        <v/>
      </c>
    </row>
    <row r="15" spans="1:74" ht="16.2" customHeight="1" x14ac:dyDescent="0.25">
      <c r="A15" s="180">
        <v>13</v>
      </c>
      <c r="B15" s="180" t="s">
        <v>4324</v>
      </c>
      <c r="C15" s="181" t="s">
        <v>812</v>
      </c>
      <c r="D15" s="181" t="s">
        <v>4561</v>
      </c>
      <c r="E15" s="181" t="s">
        <v>4560</v>
      </c>
      <c r="F15" s="181" t="s">
        <v>815</v>
      </c>
      <c r="G15" s="181" t="s">
        <v>4512</v>
      </c>
      <c r="H15" s="181"/>
      <c r="I15" s="181"/>
      <c r="J15" s="181"/>
      <c r="K15" s="181"/>
      <c r="L15" s="181"/>
      <c r="M15" s="181"/>
      <c r="N15" s="181"/>
      <c r="O15" s="181"/>
      <c r="P15" s="180"/>
      <c r="Q15" s="180"/>
      <c r="R15" s="180"/>
      <c r="U15" s="194" t="str">
        <f>IFERROR(IF(VLOOKUP(T2,B3:R22,15,FALSE)=0,"",VLOOKUP(T2,B3:R22,15,FALSE)),"")</f>
        <v/>
      </c>
      <c r="W15" s="194" t="str">
        <f>IFERROR(IF(VLOOKUP(V2,B3:R22,15,FALSE)=0,"",VLOOKUP(V2,B3:R22,15,FALSE)),"")</f>
        <v/>
      </c>
      <c r="Y15" s="194" t="str">
        <f>IFERROR(IF(VLOOKUP(X2,B3:R22,15,FALSE)=0,"",VLOOKUP(X2,B3:R22,15,FALSE)),"")</f>
        <v/>
      </c>
      <c r="AA15" s="194" t="str">
        <f>IFERROR(IF(VLOOKUP(Z2,B3:R22,15,FALSE)=0,"",VLOOKUP(Z2,B3:R22,15,FALSE)),"")</f>
        <v/>
      </c>
      <c r="AC15" s="635" t="s">
        <v>728</v>
      </c>
      <c r="AD15" s="636"/>
      <c r="AE15" s="178" t="s">
        <v>234</v>
      </c>
      <c r="AF15" s="205">
        <f>IFERROR(VLOOKUP($AF$14,$AN$2:$AW$22,2,FALSE),"0")</f>
        <v>0</v>
      </c>
      <c r="AN15" s="210">
        <v>13</v>
      </c>
      <c r="AO15" s="217">
        <v>4</v>
      </c>
      <c r="AP15" s="217">
        <v>3</v>
      </c>
      <c r="AQ15" s="217">
        <v>3</v>
      </c>
      <c r="AR15" s="217">
        <v>3</v>
      </c>
      <c r="AS15" s="217">
        <v>2</v>
      </c>
      <c r="AT15" s="217">
        <v>1</v>
      </c>
      <c r="AU15" s="217">
        <v>1</v>
      </c>
      <c r="AV15" s="217"/>
      <c r="AW15" s="217"/>
      <c r="AX15" s="217">
        <v>83</v>
      </c>
      <c r="AY15" s="210">
        <v>13</v>
      </c>
      <c r="AZ15" s="217"/>
      <c r="BA15" s="217"/>
      <c r="BB15" s="217"/>
      <c r="BC15" s="217"/>
      <c r="BD15" s="217">
        <v>3</v>
      </c>
      <c r="BG15" s="178" t="s">
        <v>68</v>
      </c>
      <c r="BH15" s="178" t="s">
        <v>38</v>
      </c>
      <c r="BI15" s="178" t="s">
        <v>39</v>
      </c>
      <c r="BJ15" s="178" t="s">
        <v>816</v>
      </c>
      <c r="BK15" s="178" t="s">
        <v>817</v>
      </c>
      <c r="BL15" s="194">
        <f>IFERROR(IF(BL14+1&gt;BQ2,IF(BL14+1&gt;BQ2,IF(BP3+BP14&gt;BQ3,"",BP3+BP14)),BL14+1),"")</f>
        <v>10</v>
      </c>
      <c r="BM15" s="194" t="str" cm="1">
        <f t="array" ref="BM15">IFERROR(INDEX(B31:BC180,BL15,BN2),"")</f>
        <v/>
      </c>
      <c r="BN15" s="194" t="str" cm="1">
        <f t="array" ref="BN15">IFERROR(INDEX(B31:BC180,BL15,BO2),"")</f>
        <v/>
      </c>
      <c r="BO15" s="194" t="str" cm="1">
        <f t="array" ref="BO15">IF(IFERROR(INDEX($B$31:$BC$180,BL15,$BM$2),"")=0,"",IFERROR(INDEX($B$31:$BC$180,BL15,$BM$2),""))</f>
        <v/>
      </c>
      <c r="BP15" s="194">
        <f>IFERROR(IF(BL14+1&gt;BQ2,BP14+1,0),"")</f>
        <v>0</v>
      </c>
      <c r="BR15" s="223" t="str">
        <f t="shared" si="0"/>
        <v/>
      </c>
      <c r="BS15" s="224" t="str" cm="1">
        <f t="array" ref="BS15">INDEX(BR:BR,SMALL(IF($BR$2:$BR$101&lt;&gt;"",ROW($BR$2:$BR$101),142),ROW(BR14)))&amp;""</f>
        <v/>
      </c>
      <c r="BT15" s="225" t="str">
        <f t="shared" si="3"/>
        <v/>
      </c>
      <c r="BU15" s="194" t="str">
        <f>IF(主要!AX24="","",主要!AX24)</f>
        <v/>
      </c>
      <c r="BV15" s="194" t="str">
        <f t="shared" si="1"/>
        <v/>
      </c>
    </row>
    <row r="16" spans="1:74" ht="16.2" customHeight="1" x14ac:dyDescent="0.25">
      <c r="A16" s="180">
        <v>14</v>
      </c>
      <c r="B16" s="180"/>
      <c r="C16" s="180"/>
      <c r="D16" s="180"/>
      <c r="E16" s="180"/>
      <c r="F16" s="180"/>
      <c r="G16" s="180"/>
      <c r="H16" s="180"/>
      <c r="I16" s="180"/>
      <c r="J16" s="180"/>
      <c r="K16" s="180"/>
      <c r="L16" s="180"/>
      <c r="M16" s="180"/>
      <c r="N16" s="180"/>
      <c r="O16" s="180"/>
      <c r="P16" s="180"/>
      <c r="Q16" s="180"/>
      <c r="R16" s="180"/>
      <c r="U16" s="194" t="str">
        <f>IFERROR(IF(VLOOKUP(T2,B3:R22,16,FALSE)=0,"",VLOOKUP(T2,B3:R22,16,FALSE)),"")</f>
        <v/>
      </c>
      <c r="W16" s="194" t="str">
        <f>IFERROR(IF(VLOOKUP(V2,B3:R22,16,FALSE)=0,"",VLOOKUP(V2,B3:R22,16,FALSE)),"")</f>
        <v/>
      </c>
      <c r="Y16" s="194" t="str">
        <f>IFERROR(IF(VLOOKUP(X2,B3:R22,16,FALSE)=0,"",VLOOKUP(X2,B3:R22,16,FALSE)),"")</f>
        <v/>
      </c>
      <c r="AA16" s="194" t="str">
        <f>IFERROR(IF(VLOOKUP(Z2,B3:R22,16,FALSE)=0,"",VLOOKUP(Z2,B3:R22,16,FALSE)),"")</f>
        <v/>
      </c>
      <c r="AC16" s="199" t="s">
        <v>747</v>
      </c>
      <c r="AD16" s="198">
        <v>4</v>
      </c>
      <c r="AE16" s="178" t="s">
        <v>245</v>
      </c>
      <c r="AF16" s="205">
        <f>IFERROR(VLOOKUP($AF$14,$AN$2:$AW$22,3,FALSE),"0")</f>
        <v>0</v>
      </c>
      <c r="AI16" s="211" t="s">
        <v>234</v>
      </c>
      <c r="AJ16" s="212" t="str">
        <f>IF(AF15+AH20=0,"",AF15+AH20)</f>
        <v/>
      </c>
      <c r="AN16" s="208">
        <v>14</v>
      </c>
      <c r="AO16" s="216">
        <v>4</v>
      </c>
      <c r="AP16" s="216">
        <v>3</v>
      </c>
      <c r="AQ16" s="216">
        <v>3</v>
      </c>
      <c r="AR16" s="216">
        <v>3</v>
      </c>
      <c r="AS16" s="216">
        <v>2</v>
      </c>
      <c r="AT16" s="216">
        <v>1</v>
      </c>
      <c r="AU16" s="216">
        <v>1</v>
      </c>
      <c r="AV16" s="216"/>
      <c r="AW16" s="216"/>
      <c r="AX16" s="216">
        <v>83</v>
      </c>
      <c r="AY16" s="208">
        <v>14</v>
      </c>
      <c r="AZ16" s="216"/>
      <c r="BA16" s="216"/>
      <c r="BB16" s="216"/>
      <c r="BC16" s="216"/>
      <c r="BD16" s="216">
        <v>3</v>
      </c>
      <c r="BF16" s="178" t="s">
        <v>748</v>
      </c>
      <c r="BG16" s="178">
        <v>1</v>
      </c>
      <c r="BH16" s="178">
        <v>2</v>
      </c>
      <c r="BI16" s="178">
        <v>3</v>
      </c>
      <c r="BJ16" s="178">
        <v>1</v>
      </c>
      <c r="BK16" s="178" cm="1">
        <f t="array" ref="BK16">_xlfn.IFS($AI$2=20,26,$AI$2&gt;=19,25,$AI$2&gt;=18,24,$AI$2&gt;=17,23,$AI$2&gt;=15,22,$AI$2&gt;=11,20,$AI$2&gt;=9,19,$AI$2&gt;=7,18,$AI$2&gt;=5,16,$AI$2&gt;=4,14,$AI$2&gt;=3,13,$AI$2=2,11,$AI$2=1,9,1,0)</f>
        <v>0</v>
      </c>
      <c r="BL16" s="194">
        <f>IFERROR(IF(BL15+1&gt;BQ2,IF(BL15+1&gt;BQ2,IF(BP3+BP15&gt;BQ3,"",BP3+BP15)),BL15+1),"")</f>
        <v>11</v>
      </c>
      <c r="BM16" s="194" t="str" cm="1">
        <f t="array" ref="BM16">IFERROR(INDEX(B31:BC180,BL16,BN2),"")</f>
        <v/>
      </c>
      <c r="BN16" s="194" t="str" cm="1">
        <f t="array" ref="BN16">IFERROR(INDEX(B31:BC180,BL16,BO2),"")</f>
        <v/>
      </c>
      <c r="BO16" s="194" t="str" cm="1">
        <f t="array" ref="BO16">IF(IFERROR(INDEX($B$31:$BC$180,BL16,$BM$2),"")=0,"",IFERROR(INDEX($B$31:$BC$180,BL16,$BM$2),""))</f>
        <v/>
      </c>
      <c r="BP16" s="194">
        <f>IFERROR(IF(BL15+1&gt;BQ2,BP15+1,0),"")</f>
        <v>0</v>
      </c>
      <c r="BR16" s="223" t="str">
        <f t="shared" si="0"/>
        <v/>
      </c>
      <c r="BS16" s="224" t="str" cm="1">
        <f t="array" ref="BS16">INDEX(BR:BR,SMALL(IF($BR$2:$BR$101&lt;&gt;"",ROW($BR$2:$BR$101),142),ROW(BR15)))&amp;""</f>
        <v/>
      </c>
      <c r="BT16" s="225" t="str">
        <f t="shared" si="3"/>
        <v/>
      </c>
      <c r="BU16" s="194" t="str">
        <f>IF(主要!AX25="","",主要!AX25)</f>
        <v/>
      </c>
      <c r="BV16" s="194" t="str">
        <f t="shared" si="1"/>
        <v/>
      </c>
    </row>
    <row r="17" spans="1:74" ht="16.2" customHeight="1" x14ac:dyDescent="0.25">
      <c r="A17" s="180">
        <v>15</v>
      </c>
      <c r="B17" s="180"/>
      <c r="C17" s="180"/>
      <c r="D17" s="180"/>
      <c r="E17" s="180"/>
      <c r="F17" s="180"/>
      <c r="G17" s="180"/>
      <c r="H17" s="180"/>
      <c r="I17" s="180"/>
      <c r="J17" s="180"/>
      <c r="K17" s="180"/>
      <c r="L17" s="180"/>
      <c r="M17" s="180"/>
      <c r="N17" s="180"/>
      <c r="O17" s="180"/>
      <c r="P17" s="180"/>
      <c r="Q17" s="180"/>
      <c r="R17" s="180"/>
      <c r="U17" s="194" t="str">
        <f>IFERROR(IF(VLOOKUP(T2,B3:R22,17,FALSE)=0,"",VLOOKUP(T2,B3:R22,17,FALSE)),"")</f>
        <v/>
      </c>
      <c r="W17" s="194" t="str">
        <f>IFERROR(IF(VLOOKUP(V2,B3:R22,17,FALSE)=0,"",VLOOKUP(V2,B3:R22,17,FALSE)),"")</f>
        <v/>
      </c>
      <c r="Y17" s="194" t="str">
        <f>IFERROR(IF(VLOOKUP(X2,B3:R22,17,FALSE)=0,"",VLOOKUP(X2,B3:R22,17,FALSE)),"")</f>
        <v/>
      </c>
      <c r="AA17" s="194" t="str">
        <f>IFERROR(IF(VLOOKUP(Z2,B3:R22,17,FALSE)=0,"",VLOOKUP(Z2,B3:R22,17,FALSE)),"")</f>
        <v/>
      </c>
      <c r="AC17" s="199" t="s">
        <v>758</v>
      </c>
      <c r="AD17" s="198">
        <v>5</v>
      </c>
      <c r="AE17" s="178" t="s">
        <v>254</v>
      </c>
      <c r="AF17" s="205">
        <f>IFERROR(VLOOKUP($AF$14,$AN$2:$AW$22,4,FALSE),"0")</f>
        <v>0</v>
      </c>
      <c r="AI17" s="213" t="s">
        <v>245</v>
      </c>
      <c r="AJ17" s="205" t="str">
        <f>IF(AF16+AH21=0,"",AF16+AH21)</f>
        <v/>
      </c>
      <c r="AN17" s="210">
        <v>15</v>
      </c>
      <c r="AO17" s="217">
        <v>4</v>
      </c>
      <c r="AP17" s="217">
        <v>3</v>
      </c>
      <c r="AQ17" s="217">
        <v>3</v>
      </c>
      <c r="AR17" s="217">
        <v>3</v>
      </c>
      <c r="AS17" s="217">
        <v>2</v>
      </c>
      <c r="AT17" s="217">
        <v>1</v>
      </c>
      <c r="AU17" s="217">
        <v>1</v>
      </c>
      <c r="AV17" s="217">
        <v>1</v>
      </c>
      <c r="AW17" s="217"/>
      <c r="AX17" s="217">
        <v>94</v>
      </c>
      <c r="AY17" s="210">
        <v>15</v>
      </c>
      <c r="AZ17" s="217"/>
      <c r="BA17" s="217"/>
      <c r="BB17" s="217"/>
      <c r="BC17" s="217"/>
      <c r="BD17" s="217">
        <v>3</v>
      </c>
      <c r="BF17" s="178" t="s">
        <v>216</v>
      </c>
      <c r="BG17" s="178">
        <v>4</v>
      </c>
      <c r="BH17" s="178">
        <v>5</v>
      </c>
      <c r="BI17" s="178">
        <v>6</v>
      </c>
      <c r="BJ17" s="178">
        <v>1</v>
      </c>
      <c r="BK17" s="178" cm="1">
        <f t="array" ref="BK17">_xlfn.IFS($AI$3&gt;=20,24,$AI$3&gt;=19,23,$AI$3&gt;=18,22,$AI$3&gt;=10,21,$AI$3&gt;=7,20,$AI$3&gt;=5,19,$AI$3&gt;=4,18,$AI$3&gt;=3,17,$AI$3=2,16,$AI$3=1,14,1,0)</f>
        <v>0</v>
      </c>
      <c r="BL17" s="194">
        <f>IFERROR(IF(BL16+1&gt;BQ2,IF(BL16+1&gt;BQ2,IF(BP3+BP16&gt;BQ3,"",BP3+BP16)),BL16+1),"")</f>
        <v>12</v>
      </c>
      <c r="BM17" s="194" t="str" cm="1">
        <f t="array" ref="BM17">IFERROR(INDEX(B31:BC180,BL17,BN2),"")</f>
        <v/>
      </c>
      <c r="BN17" s="194" t="str" cm="1">
        <f t="array" ref="BN17">IFERROR(INDEX(B31:BC180,BL17,BO2),"")</f>
        <v/>
      </c>
      <c r="BO17" s="194" t="str" cm="1">
        <f t="array" ref="BO17">IF(IFERROR(INDEX($B$31:$BC$180,BL17,$BM$2),"")=0,"",IFERROR(INDEX($B$31:$BC$180,BL17,$BM$2),""))</f>
        <v/>
      </c>
      <c r="BP17" s="194">
        <f>IFERROR(IF(BL16+1&gt;BQ2,BP16+1,0),"")</f>
        <v>0</v>
      </c>
      <c r="BR17" s="223" t="str">
        <f t="shared" si="0"/>
        <v/>
      </c>
      <c r="BS17" s="224" t="str" cm="1">
        <f t="array" ref="BS17">INDEX(BR:BR,SMALL(IF($BR$2:$BR$101&lt;&gt;"",ROW($BR$2:$BR$101),142),ROW(BR16)))&amp;""</f>
        <v/>
      </c>
      <c r="BT17" s="225" t="str">
        <f t="shared" si="3"/>
        <v/>
      </c>
      <c r="BU17" s="194" t="str">
        <f>IF(主要!AX26="","",主要!AX26)</f>
        <v/>
      </c>
      <c r="BV17" s="194" t="str">
        <f t="shared" si="1"/>
        <v/>
      </c>
    </row>
    <row r="18" spans="1:74" ht="16.2" customHeight="1" x14ac:dyDescent="0.25">
      <c r="A18" s="180">
        <v>16</v>
      </c>
      <c r="B18" s="180"/>
      <c r="C18" s="180"/>
      <c r="D18" s="180"/>
      <c r="E18" s="180"/>
      <c r="F18" s="180"/>
      <c r="G18" s="180"/>
      <c r="H18" s="180"/>
      <c r="I18" s="180"/>
      <c r="J18" s="180"/>
      <c r="K18" s="180"/>
      <c r="L18" s="180"/>
      <c r="M18" s="180"/>
      <c r="N18" s="180"/>
      <c r="O18" s="180"/>
      <c r="P18" s="180"/>
      <c r="Q18" s="180"/>
      <c r="R18" s="180"/>
      <c r="AC18" s="199" t="s">
        <v>796</v>
      </c>
      <c r="AD18" s="198">
        <v>6</v>
      </c>
      <c r="AE18" s="178" t="s">
        <v>265</v>
      </c>
      <c r="AF18" s="205">
        <f>IFERROR(VLOOKUP($AF$14,$AN$2:$AW$22,5,FALSE),"0")</f>
        <v>0</v>
      </c>
      <c r="AI18" s="213" t="s">
        <v>254</v>
      </c>
      <c r="AJ18" s="205" t="str">
        <f>IF(AF17+AH22=0,"",AF17+AH22)</f>
        <v/>
      </c>
      <c r="AN18" s="208">
        <v>16</v>
      </c>
      <c r="AO18" s="216">
        <v>4</v>
      </c>
      <c r="AP18" s="216">
        <v>3</v>
      </c>
      <c r="AQ18" s="216">
        <v>3</v>
      </c>
      <c r="AR18" s="216">
        <v>3</v>
      </c>
      <c r="AS18" s="216">
        <v>2</v>
      </c>
      <c r="AT18" s="216">
        <v>1</v>
      </c>
      <c r="AU18" s="216">
        <v>1</v>
      </c>
      <c r="AV18" s="216">
        <v>1</v>
      </c>
      <c r="AW18" s="216"/>
      <c r="AX18" s="216">
        <v>94</v>
      </c>
      <c r="AY18" s="208">
        <v>16</v>
      </c>
      <c r="AZ18" s="216"/>
      <c r="BA18" s="216"/>
      <c r="BB18" s="216"/>
      <c r="BC18" s="216"/>
      <c r="BD18" s="216">
        <v>3</v>
      </c>
      <c r="BF18" s="178" t="s">
        <v>227</v>
      </c>
      <c r="BG18" s="178">
        <v>7</v>
      </c>
      <c r="BH18" s="178">
        <v>8</v>
      </c>
      <c r="BI18" s="178">
        <v>9</v>
      </c>
      <c r="BJ18" s="178">
        <v>1</v>
      </c>
      <c r="BK18" s="178" cm="1">
        <f t="array" ref="BK18">_xlfn.IFS($AI$4&gt;=20,25,$AI$4&gt;=19,24,$AI$4&gt;=14,23,$AI$4&gt;=10,22,$AI$4&gt;=7,21,$AI$4&gt;=5,20,$AI$4&gt;=4,19,$AI$4&gt;=3,18,$AI$4=2,17,$AI$4=1,14,1,0)</f>
        <v>0</v>
      </c>
      <c r="BL18" s="194">
        <f>IFERROR(IF(BL17+1&gt;BQ2,IF(BL17+1&gt;BQ2,IF(BP3+BP17&gt;BQ3,"",BP3+BP17)),BL17+1),"")</f>
        <v>13</v>
      </c>
      <c r="BM18" s="194" t="str" cm="1">
        <f t="array" ref="BM18">IFERROR(INDEX(B31:BC180,BL18,BN2),"")</f>
        <v/>
      </c>
      <c r="BN18" s="194" t="str" cm="1">
        <f t="array" ref="BN18">IFERROR(INDEX(B31:BC180,BL18,BO2),"")</f>
        <v/>
      </c>
      <c r="BO18" s="194" t="str" cm="1">
        <f t="array" ref="BO18">IF(IFERROR(INDEX($B$31:$BC$180,BL18,$BM$2),"")=0,"",IFERROR(INDEX($B$31:$BC$180,BL18,$BM$2),""))</f>
        <v/>
      </c>
      <c r="BP18" s="194">
        <f>IFERROR(IF(BL17+1&gt;BQ2,BP17+1,0),"")</f>
        <v>0</v>
      </c>
      <c r="BR18" s="223" t="str">
        <f t="shared" si="0"/>
        <v/>
      </c>
      <c r="BS18" s="224" t="str" cm="1">
        <f t="array" ref="BS18">INDEX(BR:BR,SMALL(IF($BR$2:$BR$101&lt;&gt;"",ROW($BR$2:$BR$101),142),ROW(BR17)))&amp;""</f>
        <v/>
      </c>
      <c r="BT18" s="225" t="str">
        <f t="shared" si="3"/>
        <v/>
      </c>
      <c r="BU18" s="194" t="str">
        <f>IF(主要!AX27="","",主要!AX27)</f>
        <v/>
      </c>
      <c r="BV18" s="194" t="str">
        <f t="shared" si="1"/>
        <v/>
      </c>
    </row>
    <row r="19" spans="1:74" ht="16.2" customHeight="1" x14ac:dyDescent="0.25">
      <c r="A19" s="180">
        <v>17</v>
      </c>
      <c r="B19" s="180"/>
      <c r="C19" s="180"/>
      <c r="D19" s="180"/>
      <c r="E19" s="180"/>
      <c r="F19" s="180"/>
      <c r="G19" s="180"/>
      <c r="H19" s="180"/>
      <c r="I19" s="180"/>
      <c r="J19" s="180"/>
      <c r="K19" s="180"/>
      <c r="L19" s="180"/>
      <c r="M19" s="180"/>
      <c r="N19" s="180"/>
      <c r="O19" s="180"/>
      <c r="P19" s="180"/>
      <c r="Q19" s="180"/>
      <c r="R19" s="180"/>
      <c r="AC19" s="202" t="s">
        <v>810</v>
      </c>
      <c r="AD19" s="200">
        <v>7</v>
      </c>
      <c r="AE19" s="178" t="s">
        <v>275</v>
      </c>
      <c r="AF19" s="205">
        <f>IFERROR(VLOOKUP($AF$14,$AN$2:$AW$22,6,FALSE),"0")</f>
        <v>0</v>
      </c>
      <c r="AG19" s="214" t="s">
        <v>277</v>
      </c>
      <c r="AH19" s="214"/>
      <c r="AI19" s="213" t="s">
        <v>265</v>
      </c>
      <c r="AJ19" s="205" t="str">
        <f>IF(AF18+AH23=0,"",AF18+AH23)</f>
        <v/>
      </c>
      <c r="AN19" s="210">
        <v>17</v>
      </c>
      <c r="AO19" s="217">
        <v>4</v>
      </c>
      <c r="AP19" s="217">
        <v>3</v>
      </c>
      <c r="AQ19" s="217">
        <v>3</v>
      </c>
      <c r="AR19" s="217">
        <v>3</v>
      </c>
      <c r="AS19" s="217">
        <v>2</v>
      </c>
      <c r="AT19" s="217">
        <v>1</v>
      </c>
      <c r="AU19" s="217">
        <v>1</v>
      </c>
      <c r="AV19" s="217">
        <v>1</v>
      </c>
      <c r="AW19" s="217">
        <v>1</v>
      </c>
      <c r="AX19" s="217">
        <v>107</v>
      </c>
      <c r="AY19" s="210">
        <v>17</v>
      </c>
      <c r="AZ19" s="217"/>
      <c r="BA19" s="217"/>
      <c r="BB19" s="217"/>
      <c r="BC19" s="217"/>
      <c r="BD19" s="217">
        <v>4</v>
      </c>
      <c r="BF19" s="178" t="s">
        <v>237</v>
      </c>
      <c r="BG19" s="178">
        <v>10</v>
      </c>
      <c r="BH19" s="178">
        <v>11</v>
      </c>
      <c r="BI19" s="178">
        <v>12</v>
      </c>
      <c r="BJ19" s="178">
        <v>1</v>
      </c>
      <c r="BK19" s="178" cm="1">
        <f t="array" ref="BK19">_xlfn.IFS($AI$5&gt;=20,29,$AI$5&gt;=19,28,$AI$5&gt;=18,27,$AI$5&gt;=15,26,$AI$5&gt;=7,25,$AI$5&gt;=5,24,$AI$5&gt;=4,23,$AI$5&gt;=3,22,$AI$5=2,21,$AI$5=1,15,1,0)</f>
        <v>0</v>
      </c>
      <c r="BL19" s="194">
        <f>IFERROR(IF(BL18+1&gt;BQ2,IF(BL18+1&gt;BQ2,IF(BP3+BP18&gt;BQ3,"",BP3+BP18)),BL18+1),"")</f>
        <v>14</v>
      </c>
      <c r="BM19" s="194" t="str" cm="1">
        <f t="array" ref="BM19">IFERROR(INDEX(B31:BC180,BL19,BN2),"")</f>
        <v/>
      </c>
      <c r="BN19" s="194" t="str" cm="1">
        <f t="array" ref="BN19">IFERROR(INDEX(B31:BC180,BL19,BO2),"")</f>
        <v/>
      </c>
      <c r="BO19" s="194" t="str" cm="1">
        <f t="array" ref="BO19">IF(IFERROR(INDEX($B$31:$BC$180,BL19,$BM$2),"")=0,"",IFERROR(INDEX($B$31:$BC$180,BL19,$BM$2),""))</f>
        <v/>
      </c>
      <c r="BP19" s="194">
        <f>IFERROR(IF(BL18+1&gt;BQ2,BP18+1,0),"")</f>
        <v>0</v>
      </c>
      <c r="BR19" s="223" t="str">
        <f t="shared" si="0"/>
        <v/>
      </c>
      <c r="BS19" s="224" t="str" cm="1">
        <f t="array" ref="BS19">INDEX(BR:BR,SMALL(IF($BR$2:$BR$101&lt;&gt;"",ROW($BR$2:$BR$101),142),ROW(BR18)))&amp;""</f>
        <v/>
      </c>
      <c r="BT19" s="225" t="str">
        <f t="shared" si="3"/>
        <v/>
      </c>
      <c r="BU19" s="194" t="str">
        <f>IF(主要!AX28="","",主要!AX28)</f>
        <v/>
      </c>
      <c r="BV19" s="194" t="str">
        <f t="shared" si="1"/>
        <v/>
      </c>
    </row>
    <row r="20" spans="1:74" ht="16.2" customHeight="1" x14ac:dyDescent="0.25">
      <c r="A20" s="180">
        <v>18</v>
      </c>
      <c r="B20" s="180"/>
      <c r="C20" s="180"/>
      <c r="D20" s="180"/>
      <c r="E20" s="180"/>
      <c r="F20" s="180"/>
      <c r="G20" s="180"/>
      <c r="H20" s="180"/>
      <c r="I20" s="180"/>
      <c r="J20" s="180"/>
      <c r="K20" s="180"/>
      <c r="L20" s="180"/>
      <c r="M20" s="180"/>
      <c r="N20" s="180"/>
      <c r="O20" s="180"/>
      <c r="P20" s="180"/>
      <c r="Q20" s="180"/>
      <c r="R20" s="180"/>
      <c r="AC20" s="635" t="s">
        <v>775</v>
      </c>
      <c r="AD20" s="636"/>
      <c r="AE20" s="178" t="s">
        <v>283</v>
      </c>
      <c r="AF20" s="205">
        <f>IFERROR(VLOOKUP($AF$14,$AN$2:$AW$22,7,FALSE),"0")</f>
        <v>0</v>
      </c>
      <c r="AG20" s="178" t="s">
        <v>234</v>
      </c>
      <c r="AH20" s="178">
        <f>IFERROR(VLOOKUP($AI$12,$AY$2:$BD$22,2,FALSE),"")</f>
        <v>0</v>
      </c>
      <c r="AI20" s="213" t="s">
        <v>275</v>
      </c>
      <c r="AJ20" s="205" t="str">
        <f>IF(AF19+AH24=0,"",AF19+AH24)</f>
        <v/>
      </c>
      <c r="AN20" s="208">
        <v>18</v>
      </c>
      <c r="AO20" s="216">
        <v>4</v>
      </c>
      <c r="AP20" s="216">
        <v>3</v>
      </c>
      <c r="AQ20" s="216">
        <v>3</v>
      </c>
      <c r="AR20" s="216">
        <v>3</v>
      </c>
      <c r="AS20" s="216">
        <v>3</v>
      </c>
      <c r="AT20" s="216">
        <v>1</v>
      </c>
      <c r="AU20" s="216">
        <v>1</v>
      </c>
      <c r="AV20" s="216">
        <v>1</v>
      </c>
      <c r="AW20" s="216">
        <v>1</v>
      </c>
      <c r="AX20" s="216">
        <v>114</v>
      </c>
      <c r="AY20" s="208">
        <v>18</v>
      </c>
      <c r="AZ20" s="216"/>
      <c r="BA20" s="216"/>
      <c r="BB20" s="216"/>
      <c r="BC20" s="216"/>
      <c r="BD20" s="216">
        <v>4</v>
      </c>
      <c r="BF20" s="178" t="s">
        <v>769</v>
      </c>
      <c r="BG20" s="178">
        <v>13</v>
      </c>
      <c r="BH20" s="178">
        <v>14</v>
      </c>
      <c r="BI20" s="178">
        <v>15</v>
      </c>
      <c r="BJ20" s="178">
        <v>1</v>
      </c>
      <c r="BK20" s="178" cm="1">
        <f t="array" ref="BK20">_xlfn.IFS($AI$6=20,21,$AI$6&gt;=19,20,$AI$6&gt;=13,19,$AI$6&gt;=11,18,$AI$6&gt;=9,17,$AI$6&gt;=5,15,$AI$6&gt;=4,13,$AI$6&gt;=3,12,$AI$6&gt;=2,11,$AI$6=1,9,1,0)</f>
        <v>0</v>
      </c>
      <c r="BL20" s="194">
        <f>IFERROR(IF(BL19+1&gt;BQ2,IF(BL19+1&gt;BQ2,IF(BP3+BP19&gt;BQ3,"",BP3+BP19)),BL19+1),"")</f>
        <v>15</v>
      </c>
      <c r="BM20" s="194" t="str" cm="1">
        <f t="array" ref="BM20">IFERROR(INDEX(B31:BC180,BL20,BN2),"")</f>
        <v/>
      </c>
      <c r="BN20" s="194" t="str" cm="1">
        <f t="array" ref="BN20">IFERROR(INDEX(B31:BC180,BL20,BO2),"")</f>
        <v/>
      </c>
      <c r="BO20" s="194" t="str" cm="1">
        <f t="array" ref="BO20">IF(IFERROR(INDEX($B$31:$BC$180,BL20,$BM$2),"")=0,"",IFERROR(INDEX($B$31:$BC$180,BL20,$BM$2),""))</f>
        <v/>
      </c>
      <c r="BP20" s="194">
        <f>IFERROR(IF(BL19+1&gt;BQ2,BP19+1,0),"")</f>
        <v>0</v>
      </c>
      <c r="BR20" s="223" t="str">
        <f t="shared" si="0"/>
        <v/>
      </c>
      <c r="BS20" s="224" t="str" cm="1">
        <f t="array" ref="BS20">INDEX(BR:BR,SMALL(IF($BR$2:$BR$101&lt;&gt;"",ROW($BR$2:$BR$101),142),ROW(BR19)))&amp;""</f>
        <v/>
      </c>
      <c r="BT20" s="225" t="str">
        <f t="shared" si="3"/>
        <v/>
      </c>
      <c r="BU20" s="194" t="str">
        <f>IF(主要!AX29="","",主要!AX29)</f>
        <v/>
      </c>
      <c r="BV20" s="194" t="str">
        <f t="shared" si="1"/>
        <v/>
      </c>
    </row>
    <row r="21" spans="1:74" ht="16.2" customHeight="1" x14ac:dyDescent="0.25">
      <c r="A21" s="180">
        <v>19</v>
      </c>
      <c r="B21" s="180"/>
      <c r="C21" s="180"/>
      <c r="D21" s="180"/>
      <c r="E21" s="180"/>
      <c r="F21" s="180"/>
      <c r="G21" s="180"/>
      <c r="H21" s="180"/>
      <c r="I21" s="180"/>
      <c r="J21" s="180"/>
      <c r="K21" s="180"/>
      <c r="L21" s="180"/>
      <c r="M21" s="180"/>
      <c r="N21" s="180"/>
      <c r="O21" s="180"/>
      <c r="P21" s="180"/>
      <c r="Q21" s="180"/>
      <c r="R21" s="180"/>
      <c r="AC21" s="199" t="s">
        <v>747</v>
      </c>
      <c r="AD21" s="198">
        <v>2</v>
      </c>
      <c r="AE21" s="178" t="s">
        <v>291</v>
      </c>
      <c r="AF21" s="205">
        <f>IFERROR(VLOOKUP($AF$14,$AN$2:$AW$22,8,FALSE),"0")</f>
        <v>0</v>
      </c>
      <c r="AG21" s="178" t="s">
        <v>245</v>
      </c>
      <c r="AH21" s="178">
        <f>IFERROR(VLOOKUP($AI$12,$AY$2:$BD$22,3,FALSE),"")</f>
        <v>0</v>
      </c>
      <c r="AI21" s="213" t="s">
        <v>283</v>
      </c>
      <c r="AJ21" s="205" t="str">
        <f>IF(AF20+0=0,"",AF20)</f>
        <v/>
      </c>
      <c r="AN21" s="210">
        <v>19</v>
      </c>
      <c r="AO21" s="217">
        <v>4</v>
      </c>
      <c r="AP21" s="217">
        <v>3</v>
      </c>
      <c r="AQ21" s="217">
        <v>3</v>
      </c>
      <c r="AR21" s="217">
        <v>3</v>
      </c>
      <c r="AS21" s="217">
        <v>3</v>
      </c>
      <c r="AT21" s="217">
        <v>2</v>
      </c>
      <c r="AU21" s="217">
        <v>1</v>
      </c>
      <c r="AV21" s="217">
        <v>1</v>
      </c>
      <c r="AW21" s="217">
        <v>1</v>
      </c>
      <c r="AX21" s="217">
        <v>123</v>
      </c>
      <c r="AY21" s="210">
        <v>19</v>
      </c>
      <c r="AZ21" s="217"/>
      <c r="BA21" s="217"/>
      <c r="BB21" s="217"/>
      <c r="BC21" s="217"/>
      <c r="BD21" s="217">
        <v>4</v>
      </c>
      <c r="BF21" s="178" t="s">
        <v>774</v>
      </c>
      <c r="BG21" s="178">
        <v>16</v>
      </c>
      <c r="BH21" s="178">
        <v>17</v>
      </c>
      <c r="BI21" s="178">
        <v>18</v>
      </c>
      <c r="BJ21" s="178">
        <v>1</v>
      </c>
      <c r="BK21" s="178" cm="1">
        <f t="array" ref="BK21">_xlfn.IFS($AI$7=20,28,$AI$7=19,27,$AI$7=18,26,$AI$7&gt;=15,25,$AI$7&gt;=14,24,$AI$7&gt;=13,23,$AI$7&gt;=10,22,$AI$7&gt;=9,20,$AI$7&gt;=7,19,$AI$7&gt;=6,18,$AI$7&gt;=5,17,$AI$7&gt;=4,15,$AI$7&gt;=3,13,$AI$7=2,11,$AI$7=1,8,1,0)</f>
        <v>0</v>
      </c>
      <c r="BL21" s="194">
        <f>IFERROR(IF(BL20+1&gt;BQ2,IF(BL20+1&gt;BQ2,IF(BP3+BP20&gt;BQ3,"",BP3+BP20)),BL20+1),"")</f>
        <v>16</v>
      </c>
      <c r="BM21" s="194" t="str" cm="1">
        <f t="array" ref="BM21">IFERROR(INDEX(B31:BC180,BL21,BN2),"")</f>
        <v/>
      </c>
      <c r="BN21" s="194" t="str" cm="1">
        <f t="array" ref="BN21">IFERROR(INDEX(B31:BC180,BL21,BO2),"")</f>
        <v/>
      </c>
      <c r="BO21" s="194" t="str" cm="1">
        <f t="array" ref="BO21">IF(IFERROR(INDEX($B$31:$BC$180,BL21,$BM$2),"")=0,"",IFERROR(INDEX($B$31:$BC$180,BL21,$BM$2),""))</f>
        <v/>
      </c>
      <c r="BP21" s="194">
        <f>IFERROR(IF(BL20+1&gt;BQ2,BP20+1,0),"")</f>
        <v>0</v>
      </c>
      <c r="BR21" s="223" t="str">
        <f t="shared" si="0"/>
        <v/>
      </c>
      <c r="BS21" s="224" t="str" cm="1">
        <f t="array" ref="BS21">INDEX(BR:BR,SMALL(IF($BR$2:$BR$101&lt;&gt;"",ROW($BR$2:$BR$101),142),ROW(BR20)))&amp;""</f>
        <v/>
      </c>
      <c r="BT21" s="225" t="str">
        <f t="shared" si="3"/>
        <v/>
      </c>
      <c r="BU21" s="194" t="str">
        <f>IF(主要!AX30="","",主要!AX30)</f>
        <v/>
      </c>
      <c r="BV21" s="194" t="str">
        <f t="shared" si="1"/>
        <v/>
      </c>
    </row>
    <row r="22" spans="1:74" ht="16.2" customHeight="1" x14ac:dyDescent="0.25">
      <c r="A22" s="180">
        <v>20</v>
      </c>
      <c r="B22" s="180"/>
      <c r="C22" s="180"/>
      <c r="D22" s="180"/>
      <c r="E22" s="180"/>
      <c r="F22" s="180"/>
      <c r="G22" s="180"/>
      <c r="H22" s="180"/>
      <c r="I22" s="180"/>
      <c r="J22" s="180"/>
      <c r="K22" s="180"/>
      <c r="L22" s="180"/>
      <c r="M22" s="180"/>
      <c r="N22" s="180"/>
      <c r="O22" s="180"/>
      <c r="P22" s="180"/>
      <c r="Q22" s="180"/>
      <c r="R22" s="180"/>
      <c r="AC22" s="199" t="s">
        <v>758</v>
      </c>
      <c r="AD22" s="198">
        <v>3</v>
      </c>
      <c r="AE22" s="178" t="s">
        <v>299</v>
      </c>
      <c r="AF22" s="205">
        <f>IFERROR(VLOOKUP($AF$14,$AN$2:$AW$22,9,FALSE),"0")</f>
        <v>0</v>
      </c>
      <c r="AG22" s="178" t="s">
        <v>254</v>
      </c>
      <c r="AH22" s="178">
        <f>IFERROR(VLOOKUP($AI$12,$AY$2:$BD$22,4,FALSE),"")</f>
        <v>0</v>
      </c>
      <c r="AI22" s="213" t="s">
        <v>291</v>
      </c>
      <c r="AJ22" s="205" t="str">
        <f>IF(AF21+0=0,"",AF21)</f>
        <v/>
      </c>
      <c r="AN22" s="208">
        <v>20</v>
      </c>
      <c r="AO22" s="216">
        <v>4</v>
      </c>
      <c r="AP22" s="216">
        <v>3</v>
      </c>
      <c r="AQ22" s="216">
        <v>3</v>
      </c>
      <c r="AR22" s="216">
        <v>3</v>
      </c>
      <c r="AS22" s="216">
        <v>3</v>
      </c>
      <c r="AT22" s="216">
        <v>2</v>
      </c>
      <c r="AU22" s="216">
        <v>2</v>
      </c>
      <c r="AV22" s="216">
        <v>1</v>
      </c>
      <c r="AW22" s="216">
        <v>1</v>
      </c>
      <c r="AX22" s="216">
        <v>133</v>
      </c>
      <c r="AY22" s="208">
        <v>20</v>
      </c>
      <c r="AZ22" s="216" t="str">
        <f>""</f>
        <v/>
      </c>
      <c r="BA22" s="216" t="str">
        <f>""</f>
        <v/>
      </c>
      <c r="BB22" s="216" t="str">
        <f>""</f>
        <v/>
      </c>
      <c r="BC22" s="216" t="str">
        <f>""</f>
        <v/>
      </c>
      <c r="BD22" s="216">
        <v>4</v>
      </c>
      <c r="BF22" s="178" t="s">
        <v>248</v>
      </c>
      <c r="BG22" s="178">
        <v>19</v>
      </c>
      <c r="BH22" s="178">
        <v>20</v>
      </c>
      <c r="BI22" s="178">
        <v>21</v>
      </c>
      <c r="BJ22" s="178">
        <v>1</v>
      </c>
      <c r="BK22" s="178" cm="1">
        <f t="array" ref="BK22">_xlfn.IFS($AI$8&gt;=19,29,$AI$8&gt;=18,28,$AI$8&gt;=14,27,$AI$8&gt;=11,26,$AI$8&gt;=10,25,$AI$8&gt;=9,24,$AI$8&gt;=6,23,$AI$8&gt;=5,22,$AI$8&gt;=4,20,$AI$8&gt;=3,19,$AI$8=2,16,$AI$8=1,14,1,0)</f>
        <v>0</v>
      </c>
      <c r="BL22" s="194">
        <f>IFERROR(IF(BL21+1&gt;BQ2,IF(BL21+1&gt;BQ2,IF(BP3+BP21&gt;BQ3,"",BP3+BP21)),BL21+1),"")</f>
        <v>17</v>
      </c>
      <c r="BM22" s="194" t="str" cm="1">
        <f t="array" ref="BM22">IFERROR(INDEX(B31:BC180,BL22,BN2),"")</f>
        <v/>
      </c>
      <c r="BN22" s="194" t="str" cm="1">
        <f t="array" ref="BN22">IFERROR(INDEX(B31:BC180,BL22,BO2),"")</f>
        <v/>
      </c>
      <c r="BO22" s="194" t="str" cm="1">
        <f t="array" ref="BO22">IF(IFERROR(INDEX($B$31:$BC$180,BL22,$BM$2),"")=0,"",IFERROR(INDEX($B$31:$BC$180,BL22,$BM$2),""))</f>
        <v/>
      </c>
      <c r="BP22" s="194">
        <f>IFERROR(IF(BL21+1&gt;BQ2,BP21+1,0),"")</f>
        <v>0</v>
      </c>
      <c r="BR22" s="223" t="str">
        <f t="shared" si="0"/>
        <v/>
      </c>
      <c r="BS22" s="224" t="str" cm="1">
        <f t="array" ref="BS22">INDEX(BR:BR,SMALL(IF($BR$2:$BR$101&lt;&gt;"",ROW($BR$2:$BR$101),142),ROW(BR21)))&amp;""</f>
        <v/>
      </c>
      <c r="BT22" s="225" t="str">
        <f t="shared" si="3"/>
        <v/>
      </c>
      <c r="BU22" s="194" t="str">
        <f>IF(主要!AX31="","",主要!AX31)</f>
        <v/>
      </c>
      <c r="BV22" s="194" t="str">
        <f t="shared" si="1"/>
        <v/>
      </c>
    </row>
    <row r="23" spans="1:74" ht="16.2" customHeight="1" x14ac:dyDescent="0.25">
      <c r="AC23" s="199" t="s">
        <v>796</v>
      </c>
      <c r="AD23" s="198">
        <v>4</v>
      </c>
      <c r="AE23" s="178" t="s">
        <v>305</v>
      </c>
      <c r="AF23" s="205">
        <f>IFERROR(VLOOKUP($AF$14,$AN$2:$AW$22,10,FALSE),"0")</f>
        <v>0</v>
      </c>
      <c r="AG23" s="178" t="s">
        <v>265</v>
      </c>
      <c r="AH23" s="178">
        <f>IFERROR(VLOOKUP($AI$12,$AY$2:$BD$22,5,FALSE),"")</f>
        <v>0</v>
      </c>
      <c r="AI23" s="213" t="s">
        <v>299</v>
      </c>
      <c r="AJ23" s="205" t="str">
        <f>IF(AF22+0=0,"",AF22)</f>
        <v/>
      </c>
      <c r="BF23" s="178" t="s">
        <v>257</v>
      </c>
      <c r="BG23" s="178">
        <v>22</v>
      </c>
      <c r="BH23" s="178">
        <v>23</v>
      </c>
      <c r="BI23" s="178">
        <v>24</v>
      </c>
      <c r="BJ23" s="178">
        <v>1</v>
      </c>
      <c r="BK23" s="178" cm="1">
        <f t="array" ref="BK23">_xlfn.IFS($AI$9=20,28,$AI$9&gt;=19,27,$AI$9&gt;=18,26,$AI$9&gt;=17,25,$AI$9&gt;=14,24,$AI$9&gt;=13,23,$AI$9&gt;=10,22,$AI$9&gt;=9,21,$AI$9&gt;=6,220,$AI$9&gt;=5,19,$AI$9&gt;=4,18,$AI$9&gt;=3,17,$AI$9=2,27,$AI$9=1,14,1,0)</f>
        <v>0</v>
      </c>
      <c r="BL23" s="194">
        <f>IFERROR(IF(BL22+1&gt;BQ2,IF(BL22+1&gt;BQ2,IF(BP3+BP22&gt;BQ3,"",BP3+BP22)),BL22+1),"")</f>
        <v>18</v>
      </c>
      <c r="BM23" s="194" t="str" cm="1">
        <f t="array" ref="BM23">IFERROR(INDEX(B31:BC180,BL23,BN2),"")</f>
        <v/>
      </c>
      <c r="BN23" s="194" t="str" cm="1">
        <f t="array" ref="BN23">IFERROR(INDEX(B31:BC180,BL23,BO2),"")</f>
        <v/>
      </c>
      <c r="BO23" s="194" t="str" cm="1">
        <f t="array" ref="BO23">IF(IFERROR(INDEX($B$31:$BC$180,BL23,$BM$2),"")=0,"",IFERROR(INDEX($B$31:$BC$180,BL23,$BM$2),""))</f>
        <v/>
      </c>
      <c r="BP23" s="194">
        <f>IFERROR(IF(BL22+1&gt;BQ2,BP22+1,0),"")</f>
        <v>0</v>
      </c>
      <c r="BR23" s="223" t="str">
        <f t="shared" si="0"/>
        <v/>
      </c>
      <c r="BS23" s="224" t="str" cm="1">
        <f t="array" ref="BS23">INDEX(BR:BR,SMALL(IF($BR$2:$BR$101&lt;&gt;"",ROW($BR$2:$BR$101),142),ROW(BR22)))&amp;""</f>
        <v/>
      </c>
      <c r="BT23" s="225" t="str">
        <f t="shared" si="3"/>
        <v/>
      </c>
      <c r="BU23" s="194" t="str">
        <f>IF(主要!AX32="","",主要!AX32)</f>
        <v/>
      </c>
      <c r="BV23" s="194" t="str">
        <f t="shared" si="1"/>
        <v/>
      </c>
    </row>
    <row r="24" spans="1:74" ht="16.2" customHeight="1" x14ac:dyDescent="0.25">
      <c r="AC24" s="202" t="s">
        <v>810</v>
      </c>
      <c r="AD24" s="200">
        <v>5</v>
      </c>
      <c r="AE24" s="206" t="s">
        <v>186</v>
      </c>
      <c r="AF24" s="207">
        <f>IFERROR(VLOOKUP($AF$14,$AN$2:$AX$22,11,FALSE),"")</f>
        <v>0</v>
      </c>
      <c r="AG24" s="215" t="s">
        <v>275</v>
      </c>
      <c r="AH24" s="215">
        <f>IFERROR(VLOOKUP($AI$12,$AY$2:$BD$22,6,FALSE),"")</f>
        <v>0</v>
      </c>
      <c r="AI24" s="206" t="s">
        <v>305</v>
      </c>
      <c r="AJ24" s="207" t="str">
        <f>IF(AF23+0=0,"",AF23)</f>
        <v/>
      </c>
      <c r="BF24" s="178" t="s">
        <v>781</v>
      </c>
      <c r="BG24" s="178">
        <v>25</v>
      </c>
      <c r="BH24" s="178">
        <v>26</v>
      </c>
      <c r="BI24" s="178">
        <v>27</v>
      </c>
      <c r="BJ24" s="178">
        <v>1</v>
      </c>
      <c r="BK24" s="178" cm="1">
        <f t="array" ref="BK24">_xlfn.IFS($AI$10=20,24,$AI$10&gt;=19,23,$AI$10&gt;=18,22,$AI$10&gt;=15,21,$AI$10&gt;=14,20,$AI$10&gt;=11,19,$AI$10&gt;=7,18,$AI$10&gt;=5,16,$AI$10&gt;=4,14,$AI$10&gt;=3,13,$AI$10=2,11,$AI$10=1,10,1,0)</f>
        <v>0</v>
      </c>
      <c r="BL24" s="194">
        <f>IFERROR(IF(BL23+1&gt;BQ2,IF(BL23+1&gt;BQ2,IF(BP3+BP23&gt;BQ3,"",BP3+BP23)),BL23+1),"")</f>
        <v>19</v>
      </c>
      <c r="BM24" s="194" t="str" cm="1">
        <f t="array" ref="BM24">IFERROR(INDEX(B31:BC180,BL24,BN2),"")</f>
        <v/>
      </c>
      <c r="BN24" s="194" t="str" cm="1">
        <f t="array" ref="BN24">IFERROR(INDEX(B31:BC180,BL24,BO2),"")</f>
        <v/>
      </c>
      <c r="BO24" s="194" t="str" cm="1">
        <f t="array" ref="BO24">IF(IFERROR(INDEX($B$31:$BC$180,BL24,$BM$2),"")=0,"",IFERROR(INDEX($B$31:$BC$180,BL24,$BM$2),""))</f>
        <v/>
      </c>
      <c r="BP24" s="194">
        <f>IFERROR(IF(BL23+1&gt;BQ2,BP23+1,0),"")</f>
        <v>0</v>
      </c>
      <c r="BR24" s="223" t="str">
        <f t="shared" si="0"/>
        <v/>
      </c>
      <c r="BS24" s="224" t="str" cm="1">
        <f t="array" ref="BS24">INDEX(BR:BR,SMALL(IF($BR$2:$BR$101&lt;&gt;"",ROW($BR$2:$BR$101),142),ROW(BR23)))&amp;""</f>
        <v/>
      </c>
      <c r="BT24" s="225" t="str">
        <f t="shared" si="3"/>
        <v/>
      </c>
      <c r="BU24" s="194" t="str">
        <f>IF(主要!AX33="","",主要!AX33)</f>
        <v/>
      </c>
      <c r="BV24" s="194" t="str">
        <f t="shared" si="1"/>
        <v/>
      </c>
    </row>
    <row r="25" spans="1:74" ht="16.2" customHeight="1" x14ac:dyDescent="0.25">
      <c r="BF25" s="178" t="s">
        <v>267</v>
      </c>
      <c r="BG25" s="178">
        <v>28</v>
      </c>
      <c r="BH25" s="178">
        <v>29</v>
      </c>
      <c r="BI25" s="178">
        <v>30</v>
      </c>
      <c r="BJ25" s="178">
        <v>1</v>
      </c>
      <c r="BK25" s="178" cm="1">
        <f t="array" ref="BK25">_xlfn.IFS($AI$11=20,32,$AI$11&gt;=19,31,$AI$11&gt;=7,30,$AI$11&gt;=5,29,$AI$11&gt;=4,28,$AI$11&gt;=3,27,$AI$11=2,26,$AI$11=1,14,1,0)</f>
        <v>0</v>
      </c>
      <c r="BL25" s="194">
        <f>IFERROR(IF(BL24+1&gt;BQ2,IF(BL24+1&gt;BQ2,IF(BP3+BP24&gt;BQ3,"",BP3+BP24)),BL24+1),"")</f>
        <v>20</v>
      </c>
      <c r="BM25" s="194" t="str" cm="1">
        <f t="array" ref="BM25">IFERROR(INDEX(B31:BC180,BL25,BN2),"")</f>
        <v/>
      </c>
      <c r="BN25" s="194" t="str" cm="1">
        <f t="array" ref="BN25">IFERROR(INDEX(B31:BC180,BL25,BO2),"")</f>
        <v/>
      </c>
      <c r="BO25" s="194" t="str" cm="1">
        <f t="array" ref="BO25">IF(IFERROR(INDEX($B$31:$BC$180,BL25,$BM$2),"")=0,"",IFERROR(INDEX($B$31:$BC$180,BL25,$BM$2),""))</f>
        <v/>
      </c>
      <c r="BP25" s="194">
        <f>IFERROR(IF(BL24+1&gt;BQ2,BP24+1,0),"")</f>
        <v>0</v>
      </c>
      <c r="BR25" s="223" t="str">
        <f t="shared" si="0"/>
        <v/>
      </c>
      <c r="BS25" s="224" t="str" cm="1">
        <f t="array" ref="BS25">INDEX(BR:BR,SMALL(IF($BR$2:$BR$101&lt;&gt;"",ROW($BR$2:$BR$101),142),ROW(BR24)))&amp;""</f>
        <v/>
      </c>
      <c r="BT25" s="225" t="str">
        <f t="shared" si="3"/>
        <v/>
      </c>
      <c r="BU25" s="194" t="str">
        <f>IF(主要!AX34="","",主要!AX34)</f>
        <v/>
      </c>
      <c r="BV25" s="194" t="str">
        <f t="shared" si="1"/>
        <v/>
      </c>
    </row>
    <row r="26" spans="1:74" ht="16.2" customHeight="1" x14ac:dyDescent="0.25">
      <c r="BF26" s="178" t="s">
        <v>277</v>
      </c>
      <c r="BG26" s="178">
        <v>31</v>
      </c>
      <c r="BH26" s="178">
        <v>32</v>
      </c>
      <c r="BI26" s="178">
        <v>33</v>
      </c>
      <c r="BJ26" s="178">
        <v>1</v>
      </c>
      <c r="BK26" s="178" cm="1">
        <f t="array" ref="BK26">_xlfn.IFS($AI$12=20,49,$AI$12&gt;=19,48,$AI$12&gt;=11,47,$AI$12&gt;=9,46,$AI$12&gt;=4,45,$AI$12&gt;=3,44,$AI$12=2,43,$AI$12=1,42,1,0)</f>
        <v>0</v>
      </c>
      <c r="BL26" s="194">
        <f>IFERROR(IF(BL25+1&gt;BQ2,IF(BL25+1&gt;BQ2,IF(BP3+BP25&gt;BQ3,"",BP3+BP25)),BL25+1),"")</f>
        <v>21</v>
      </c>
      <c r="BM26" s="194" t="str" cm="1">
        <f t="array" ref="BM26">IFERROR(INDEX(B31:BC180,BL26,BN2),"")</f>
        <v/>
      </c>
      <c r="BN26" s="194" t="str" cm="1">
        <f t="array" ref="BN26">IFERROR(INDEX(B31:BC180,BL26,BO2),"")</f>
        <v/>
      </c>
      <c r="BO26" s="194" t="str" cm="1">
        <f t="array" ref="BO26">IF(IFERROR(INDEX($B$31:$BC$180,BL26,$BM$2),"")=0,"",IFERROR(INDEX($B$31:$BC$180,BL26,$BM$2),""))</f>
        <v/>
      </c>
      <c r="BP26" s="194">
        <f>IFERROR(IF(BL25+1&gt;BQ2,BP25+1,0),"")</f>
        <v>0</v>
      </c>
      <c r="BR26" s="223" t="str">
        <f t="shared" si="0"/>
        <v/>
      </c>
      <c r="BS26" s="224" t="str" cm="1">
        <f t="array" ref="BS26">INDEX(BR:BR,SMALL(IF($BR$2:$BR$101&lt;&gt;"",ROW($BR$2:$BR$101),142),ROW(BR25)))&amp;""</f>
        <v/>
      </c>
      <c r="BT26" s="225" t="str">
        <f t="shared" si="3"/>
        <v/>
      </c>
      <c r="BU26" s="194" t="str">
        <f>IF(主要!AX35="","",主要!AX35)</f>
        <v/>
      </c>
      <c r="BV26" s="194" t="str">
        <f t="shared" si="1"/>
        <v/>
      </c>
    </row>
    <row r="27" spans="1:74" ht="16.2" customHeight="1" x14ac:dyDescent="0.25">
      <c r="BF27" s="178" t="s">
        <v>285</v>
      </c>
      <c r="BG27" s="178">
        <v>34</v>
      </c>
      <c r="BH27" s="178">
        <v>35</v>
      </c>
      <c r="BI27" s="178">
        <v>36</v>
      </c>
      <c r="BJ27" s="178">
        <v>1</v>
      </c>
      <c r="BK27" s="178" cm="1">
        <f t="array" ref="BK27">_xlfn.IFS($AI$13=20,26,$AI$13&gt;=19,25,$AI$13&gt;=18,24,$AI$13&gt;=5,23,$AI$13&gt;=4,22,$AI$13&gt;=3,21,$AI$13=2,20,$AI$13=1,19,1,0)</f>
        <v>0</v>
      </c>
      <c r="BL27" s="194">
        <f>IFERROR(IF(BL26+1&gt;BQ2,IF(BL26+1&gt;BQ2,IF(BP3+BP26&gt;BQ3,"",BP3+BP26)),BL26+1),"")</f>
        <v>22</v>
      </c>
      <c r="BM27" s="194" t="str" cm="1">
        <f t="array" ref="BM27">IFERROR(INDEX(B31:BC180,BL27,BN2),"")</f>
        <v/>
      </c>
      <c r="BN27" s="194" t="str" cm="1">
        <f t="array" ref="BN27">IFERROR(INDEX(B31:BC180,BL27,BO2),"")</f>
        <v/>
      </c>
      <c r="BO27" s="194" t="str" cm="1">
        <f t="array" ref="BO27">IF(IFERROR(INDEX($B$31:$BC$180,BL27,$BM$2),"")=0,"",IFERROR(INDEX($B$31:$BC$180,BL27,$BM$2),""))</f>
        <v/>
      </c>
      <c r="BP27" s="194">
        <f>IFERROR(IF(BL26+1&gt;BQ2,BP26+1,0),"")</f>
        <v>0</v>
      </c>
      <c r="BR27" s="223" t="str">
        <f t="shared" si="0"/>
        <v/>
      </c>
      <c r="BS27" s="224" t="str" cm="1">
        <f t="array" ref="BS27">INDEX(BR:BR,SMALL(IF($BR$2:$BR$101&lt;&gt;"",ROW($BR$2:$BR$101),142),ROW(BR26)))&amp;""</f>
        <v/>
      </c>
      <c r="BT27" s="225" t="str">
        <f t="shared" si="3"/>
        <v/>
      </c>
      <c r="BU27" s="194" t="str">
        <f>IF(主要!AX36="","",主要!AX36)</f>
        <v/>
      </c>
      <c r="BV27" s="194" t="str">
        <f t="shared" si="1"/>
        <v/>
      </c>
    </row>
    <row r="28" spans="1:74" ht="16.2" customHeight="1" x14ac:dyDescent="0.25">
      <c r="BF28" s="178" t="s">
        <v>791</v>
      </c>
      <c r="BG28" s="178">
        <v>37</v>
      </c>
      <c r="BH28" s="178">
        <v>38</v>
      </c>
      <c r="BI28" s="178">
        <v>39</v>
      </c>
      <c r="BJ28" s="178">
        <v>1</v>
      </c>
      <c r="BK28" s="178" cm="1">
        <f t="array" ref="BK28">_xlfn.IFS($AI$14=20,30,$AI$14&gt;=19,29,$AI$14&gt;=18,28,$AI$14&gt;=14,27,$AI$14&gt;=11,25,$AI$14&gt;=10,24,$AI$14&gt;=7,22,$AI$14&gt;=6,21,$AI$14&gt;=4,19,$AI$14&gt;=3,18,$AI$14=2,17,$AI$14=1,16,1,0)</f>
        <v>0</v>
      </c>
      <c r="BL28" s="194">
        <f>IFERROR(IF(BL27+1&gt;BQ2,IF(BL27+1&gt;BQ2,IF(BP3+BP27&gt;BQ3,"",BP3+BP27)),BL27+1),"")</f>
        <v>23</v>
      </c>
      <c r="BM28" s="194" t="str" cm="1">
        <f t="array" ref="BM28">IFERROR(INDEX(B31:BC180,BL28,BN2),"")</f>
        <v/>
      </c>
      <c r="BN28" s="194" t="str" cm="1">
        <f t="array" ref="BN28">IFERROR(INDEX(B31:BC180,BL28,BO2),"")</f>
        <v/>
      </c>
      <c r="BO28" s="194" t="str" cm="1">
        <f t="array" ref="BO28">IF(IFERROR(INDEX($B$31:$BC$180,BL28,$BM$2),"")=0,"",IFERROR(INDEX($B$31:$BC$180,BL28,$BM$2),""))</f>
        <v/>
      </c>
      <c r="BP28" s="194">
        <f>IFERROR(IF(BL27+1&gt;BQ2,BP27+1,0),"")</f>
        <v>0</v>
      </c>
      <c r="BR28" s="223" t="str">
        <f t="shared" si="0"/>
        <v/>
      </c>
      <c r="BS28" s="224" t="str" cm="1">
        <f t="array" ref="BS28">INDEX(BR:BR,SMALL(IF($BR$2:$BR$101&lt;&gt;"",ROW($BR$2:$BR$101),142),ROW(BR27)))&amp;""</f>
        <v/>
      </c>
      <c r="BT28" s="225" t="str">
        <f t="shared" si="3"/>
        <v/>
      </c>
      <c r="BU28" s="194" t="str">
        <f>IF(主要!AX37="","",主要!AX37)</f>
        <v/>
      </c>
      <c r="BV28" s="194" t="str">
        <f t="shared" si="1"/>
        <v/>
      </c>
    </row>
    <row r="29" spans="1:74" ht="16.2" customHeight="1" x14ac:dyDescent="0.25">
      <c r="B29" s="178">
        <v>1</v>
      </c>
      <c r="C29" s="178">
        <v>2</v>
      </c>
      <c r="D29" s="178">
        <v>3</v>
      </c>
      <c r="E29" s="178">
        <v>4</v>
      </c>
      <c r="F29" s="178">
        <v>5</v>
      </c>
      <c r="G29" s="178">
        <v>6</v>
      </c>
      <c r="H29" s="178">
        <v>7</v>
      </c>
      <c r="I29" s="178">
        <v>8</v>
      </c>
      <c r="J29" s="178">
        <v>9</v>
      </c>
      <c r="K29" s="178">
        <v>10</v>
      </c>
      <c r="L29" s="178">
        <v>11</v>
      </c>
      <c r="M29" s="178">
        <v>12</v>
      </c>
      <c r="N29" s="178">
        <v>13</v>
      </c>
      <c r="O29" s="178">
        <v>14</v>
      </c>
      <c r="P29" s="178">
        <v>15</v>
      </c>
      <c r="Q29" s="178">
        <v>16</v>
      </c>
      <c r="R29" s="178">
        <v>17</v>
      </c>
      <c r="S29" s="178">
        <v>18</v>
      </c>
      <c r="T29" s="178">
        <v>19</v>
      </c>
      <c r="U29" s="178">
        <v>20</v>
      </c>
      <c r="V29" s="178">
        <v>21</v>
      </c>
      <c r="W29" s="178">
        <v>22</v>
      </c>
      <c r="X29" s="178">
        <v>23</v>
      </c>
      <c r="Y29" s="178">
        <v>24</v>
      </c>
      <c r="Z29" s="178">
        <v>25</v>
      </c>
      <c r="AA29" s="178">
        <v>26</v>
      </c>
      <c r="AB29" s="178">
        <v>27</v>
      </c>
      <c r="AC29" s="178">
        <v>28</v>
      </c>
      <c r="AD29" s="178">
        <v>29</v>
      </c>
      <c r="AE29" s="178">
        <v>30</v>
      </c>
      <c r="AF29" s="178">
        <v>31</v>
      </c>
      <c r="AG29" s="178">
        <v>32</v>
      </c>
      <c r="AH29" s="178">
        <v>33</v>
      </c>
      <c r="AI29" s="178">
        <v>34</v>
      </c>
      <c r="AJ29" s="178">
        <v>35</v>
      </c>
      <c r="AK29" s="178">
        <v>36</v>
      </c>
      <c r="AL29" s="178">
        <v>37</v>
      </c>
      <c r="AM29" s="178">
        <v>38</v>
      </c>
      <c r="AN29" s="178">
        <v>39</v>
      </c>
      <c r="AO29" s="178">
        <v>40</v>
      </c>
      <c r="BL29" s="194">
        <f>IFERROR(IF(BL28+1&gt;BQ2,IF(BL28+1&gt;BQ2,IF(BP3+BP28&gt;BQ3,"",BP3+BP28)),BL28+1),"")</f>
        <v>24</v>
      </c>
      <c r="BM29" s="194" t="str" cm="1">
        <f t="array" ref="BM29">IFERROR(INDEX(B31:BC180,BL29,BN2),"")</f>
        <v/>
      </c>
      <c r="BN29" s="194" t="str" cm="1">
        <f t="array" ref="BN29">IFERROR(INDEX(B31:BC180,BL29,BO2),"")</f>
        <v/>
      </c>
      <c r="BO29" s="194" t="str" cm="1">
        <f t="array" ref="BO29">IF(IFERROR(INDEX($B$31:$BC$180,BL29,$BM$2),"")=0,"",IFERROR(INDEX($B$31:$BC$180,BL29,$BM$2),""))</f>
        <v/>
      </c>
      <c r="BP29" s="194">
        <f>IFERROR(IF(BL28+1&gt;BQ2,BP28+1,0),"")</f>
        <v>0</v>
      </c>
      <c r="BR29" s="223" t="str">
        <f t="shared" si="0"/>
        <v/>
      </c>
      <c r="BS29" s="224" t="str" cm="1">
        <f t="array" ref="BS29">INDEX(BR:BR,SMALL(IF($BR$2:$BR$101&lt;&gt;"",ROW($BR$2:$BR$101),142),ROW(BR28)))&amp;""</f>
        <v/>
      </c>
      <c r="BT29" s="225" t="str">
        <f t="shared" si="3"/>
        <v/>
      </c>
      <c r="BU29" s="194" t="str">
        <f>IF(主要!AX38="","",主要!AX38)</f>
        <v/>
      </c>
      <c r="BV29" s="194" t="str">
        <f t="shared" si="1"/>
        <v/>
      </c>
    </row>
    <row r="30" spans="1:74" ht="16.2" customHeight="1" thickBot="1" x14ac:dyDescent="0.3">
      <c r="B30" s="632" t="s">
        <v>748</v>
      </c>
      <c r="C30" s="633"/>
      <c r="D30" s="634"/>
      <c r="E30" s="632" t="s">
        <v>216</v>
      </c>
      <c r="F30" s="633"/>
      <c r="G30" s="634"/>
      <c r="H30" s="632" t="s">
        <v>227</v>
      </c>
      <c r="I30" s="633"/>
      <c r="J30" s="634"/>
      <c r="K30" s="632" t="s">
        <v>237</v>
      </c>
      <c r="L30" s="633"/>
      <c r="M30" s="634"/>
      <c r="N30" s="632" t="s">
        <v>769</v>
      </c>
      <c r="O30" s="633"/>
      <c r="P30" s="634"/>
      <c r="Q30" s="632" t="s">
        <v>774</v>
      </c>
      <c r="R30" s="633"/>
      <c r="S30" s="634"/>
      <c r="T30" s="632" t="s">
        <v>248</v>
      </c>
      <c r="U30" s="633"/>
      <c r="V30" s="634"/>
      <c r="W30" s="632" t="s">
        <v>257</v>
      </c>
      <c r="X30" s="633"/>
      <c r="Y30" s="634"/>
      <c r="Z30" s="632" t="s">
        <v>781</v>
      </c>
      <c r="AA30" s="633"/>
      <c r="AB30" s="634"/>
      <c r="AC30" s="632" t="s">
        <v>267</v>
      </c>
      <c r="AD30" s="633"/>
      <c r="AE30" s="634"/>
      <c r="AF30" s="632" t="s">
        <v>277</v>
      </c>
      <c r="AG30" s="633"/>
      <c r="AH30" s="634"/>
      <c r="AI30" s="632" t="s">
        <v>285</v>
      </c>
      <c r="AJ30" s="633"/>
      <c r="AK30" s="634"/>
      <c r="AL30" s="632" t="s">
        <v>4324</v>
      </c>
      <c r="AM30" s="633"/>
      <c r="AN30" s="634"/>
      <c r="AO30" s="218"/>
      <c r="AP30" s="218"/>
      <c r="AQ30" s="218"/>
      <c r="AR30" s="218"/>
      <c r="AS30" s="218"/>
      <c r="AT30" s="218"/>
      <c r="AU30" s="218"/>
      <c r="AV30" s="218"/>
      <c r="AW30" s="218"/>
      <c r="AX30" s="218"/>
      <c r="AY30" s="218"/>
      <c r="AZ30" s="218"/>
      <c r="BA30" s="218"/>
      <c r="BB30" s="218"/>
      <c r="BC30" s="221"/>
      <c r="BH30" s="178" t="s">
        <v>749</v>
      </c>
      <c r="BI30" s="178">
        <v>27</v>
      </c>
      <c r="BJ30" s="178" cm="1">
        <f t="array" ref="BJ30">_xlfn.IFS($AI$2&gt;=14,30,$AI$2&gt;=10,29,$AI$2&gt;=6,28,$AI$2&gt;=3,27,1,0)</f>
        <v>0</v>
      </c>
      <c r="BL30" s="194">
        <f>IFERROR(IF(BL29+1&gt;BQ2,IF(BL29+1&gt;BQ2,IF(BP3+BP29&gt;BQ3,"",BP3+BP29)),BL29+1),"")</f>
        <v>25</v>
      </c>
      <c r="BM30" s="194" t="str" cm="1">
        <f t="array" ref="BM30">IFERROR(INDEX(B31:BC180,BL30,BN2),"")</f>
        <v/>
      </c>
      <c r="BN30" s="194" t="str" cm="1">
        <f t="array" ref="BN30">IFERROR(INDEX(B31:BC180,BL30,BO2),"")</f>
        <v/>
      </c>
      <c r="BO30" s="194" t="str" cm="1">
        <f t="array" ref="BO30">IF(IFERROR(INDEX($B$31:$BC$180,BL30,$BM$2),"")=0,"",IFERROR(INDEX($B$31:$BC$180,BL30,$BM$2),""))</f>
        <v/>
      </c>
      <c r="BP30" s="194">
        <f>IFERROR(IF(BL29+1&gt;BQ2,BP29+1,0),"")</f>
        <v>0</v>
      </c>
      <c r="BR30" s="223" t="str">
        <f t="shared" si="0"/>
        <v/>
      </c>
      <c r="BS30" s="224" t="str" cm="1">
        <f t="array" ref="BS30">INDEX(BR:BR,SMALL(IF($BR$2:$BR$101&lt;&gt;"",ROW($BR$2:$BR$101),142),ROW(BR29)))&amp;""</f>
        <v/>
      </c>
      <c r="BT30" s="225" t="str">
        <f t="shared" si="3"/>
        <v/>
      </c>
      <c r="BU30" s="194" t="str">
        <f>IF(主要!AX39="","",主要!AX39)</f>
        <v/>
      </c>
      <c r="BV30" s="194" t="str">
        <f t="shared" si="1"/>
        <v/>
      </c>
    </row>
    <row r="31" spans="1:74" ht="16.2" customHeight="1" x14ac:dyDescent="0.25">
      <c r="A31" s="178">
        <v>1</v>
      </c>
      <c r="B31" s="183"/>
      <c r="C31" s="184" t="s">
        <v>818</v>
      </c>
      <c r="D31" s="185" t="s">
        <v>819</v>
      </c>
      <c r="E31" s="186"/>
      <c r="F31" s="184" t="s">
        <v>818</v>
      </c>
      <c r="G31" s="185" t="s">
        <v>820</v>
      </c>
      <c r="H31" s="186"/>
      <c r="I31" s="184" t="s">
        <v>818</v>
      </c>
      <c r="J31" s="185" t="s">
        <v>821</v>
      </c>
      <c r="K31" s="186"/>
      <c r="L31" s="184" t="s">
        <v>818</v>
      </c>
      <c r="M31" s="185" t="s">
        <v>822</v>
      </c>
      <c r="N31" s="186"/>
      <c r="O31" s="184" t="s">
        <v>818</v>
      </c>
      <c r="P31" s="185" t="s">
        <v>819</v>
      </c>
      <c r="Q31" s="186"/>
      <c r="R31" s="184" t="s">
        <v>818</v>
      </c>
      <c r="S31" s="185" t="s">
        <v>823</v>
      </c>
      <c r="T31" s="186"/>
      <c r="U31" s="184" t="s">
        <v>818</v>
      </c>
      <c r="V31" s="185" t="s">
        <v>821</v>
      </c>
      <c r="W31" s="186"/>
      <c r="X31" s="184" t="s">
        <v>818</v>
      </c>
      <c r="Y31" s="185" t="s">
        <v>823</v>
      </c>
      <c r="Z31" s="186"/>
      <c r="AA31" s="184" t="s">
        <v>818</v>
      </c>
      <c r="AB31" s="185" t="s">
        <v>824</v>
      </c>
      <c r="AC31" s="186"/>
      <c r="AD31" s="184" t="s">
        <v>818</v>
      </c>
      <c r="AE31" s="185" t="s">
        <v>825</v>
      </c>
      <c r="AF31" s="186"/>
      <c r="AG31" s="184" t="s">
        <v>818</v>
      </c>
      <c r="AH31" s="185" t="s">
        <v>821</v>
      </c>
      <c r="AI31" s="186"/>
      <c r="AJ31" s="184" t="s">
        <v>818</v>
      </c>
      <c r="AK31" s="185" t="s">
        <v>822</v>
      </c>
      <c r="AL31" s="186"/>
      <c r="AM31" s="184" t="s">
        <v>818</v>
      </c>
      <c r="AN31" s="185" t="s">
        <v>4513</v>
      </c>
      <c r="BC31" s="209"/>
      <c r="BH31" s="178" t="s">
        <v>750</v>
      </c>
      <c r="BI31" s="178">
        <v>31</v>
      </c>
      <c r="BJ31" s="178" cm="1">
        <f t="array" ref="BJ31">_xlfn.IFS($AI$2&gt;=14,35,$AI$2&gt;=10,34,$AI$2&gt;=6,33,$AI$2&gt;=3,32,1,0)</f>
        <v>0</v>
      </c>
      <c r="BL31" s="194">
        <f>IFERROR(IF(BL30+1&gt;BQ2,IF(BL30+1&gt;BQ2,IF(BP3+BP30&gt;BQ3,"",BP3+BP30)),BL30+1),"")</f>
        <v>26</v>
      </c>
      <c r="BM31" s="194" t="str" cm="1">
        <f t="array" ref="BM31">IFERROR(INDEX(B31:BC180,BL31,BN2),"")</f>
        <v/>
      </c>
      <c r="BN31" s="194" t="str" cm="1">
        <f t="array" ref="BN31">IFERROR(INDEX(B31:BC180,BL31,BO2),"")</f>
        <v/>
      </c>
      <c r="BO31" s="194" t="str" cm="1">
        <f t="array" ref="BO31">IF(IFERROR(INDEX($B$31:$BC$180,BL31,$BM$2),"")=0,"",IFERROR(INDEX($B$31:$BC$180,BL31,$BM$2),""))</f>
        <v/>
      </c>
      <c r="BP31" s="194">
        <f>IFERROR(IF(BL30+1&gt;BQ2,BP30+1,0),"")</f>
        <v>0</v>
      </c>
      <c r="BR31" s="223" t="str">
        <f t="shared" si="0"/>
        <v/>
      </c>
      <c r="BS31" s="224" t="str" cm="1">
        <f t="array" ref="BS31">INDEX(BR:BR,SMALL(IF($BR$2:$BR$101&lt;&gt;"",ROW($BR$2:$BR$101),142),ROW(BR30)))&amp;""</f>
        <v/>
      </c>
      <c r="BT31" s="225" t="str">
        <f t="shared" ref="BT31:BT43" si="4">IFERROR(VLOOKUP(BU31,$BM$5:$BO$105,3,FALSE),"")</f>
        <v/>
      </c>
      <c r="BU31" s="194" t="str">
        <f>IF(主要!AX40="","",主要!AX40)</f>
        <v/>
      </c>
      <c r="BV31" s="194" t="str">
        <f t="shared" ref="BV31:BV43" si="5">IFERROR(VLOOKUP(BU31,$BM$6:$BN$105,2,FALSE),"")</f>
        <v/>
      </c>
    </row>
    <row r="32" spans="1:74" ht="16.2" customHeight="1" x14ac:dyDescent="0.25">
      <c r="A32" s="178">
        <v>2</v>
      </c>
      <c r="B32" s="187"/>
      <c r="C32" s="184" t="s">
        <v>19</v>
      </c>
      <c r="D32" s="185" t="s">
        <v>826</v>
      </c>
      <c r="E32" s="188"/>
      <c r="F32" s="184" t="s">
        <v>19</v>
      </c>
      <c r="G32" s="185" t="s">
        <v>827</v>
      </c>
      <c r="H32" s="188"/>
      <c r="I32" s="184" t="s">
        <v>19</v>
      </c>
      <c r="J32" s="185" t="s">
        <v>828</v>
      </c>
      <c r="K32" s="188"/>
      <c r="L32" s="184" t="s">
        <v>19</v>
      </c>
      <c r="M32" s="185" t="s">
        <v>829</v>
      </c>
      <c r="N32" s="188"/>
      <c r="O32" s="184" t="s">
        <v>19</v>
      </c>
      <c r="P32" s="185" t="s">
        <v>830</v>
      </c>
      <c r="Q32" s="188"/>
      <c r="R32" s="184" t="s">
        <v>19</v>
      </c>
      <c r="S32" s="185" t="s">
        <v>831</v>
      </c>
      <c r="T32" s="188"/>
      <c r="U32" s="184" t="s">
        <v>19</v>
      </c>
      <c r="V32" s="185" t="s">
        <v>832</v>
      </c>
      <c r="W32" s="188"/>
      <c r="X32" s="184" t="s">
        <v>19</v>
      </c>
      <c r="Y32" s="185" t="s">
        <v>833</v>
      </c>
      <c r="Z32" s="188"/>
      <c r="AA32" s="184" t="s">
        <v>19</v>
      </c>
      <c r="AB32" s="185" t="s">
        <v>834</v>
      </c>
      <c r="AC32" s="188"/>
      <c r="AD32" s="184" t="s">
        <v>19</v>
      </c>
      <c r="AE32" s="185" t="s">
        <v>835</v>
      </c>
      <c r="AF32" s="188"/>
      <c r="AG32" s="184" t="s">
        <v>19</v>
      </c>
      <c r="AH32" s="185" t="s">
        <v>836</v>
      </c>
      <c r="AI32" s="188"/>
      <c r="AJ32" s="184" t="s">
        <v>19</v>
      </c>
      <c r="AK32" s="185" t="s">
        <v>837</v>
      </c>
      <c r="AL32" s="188"/>
      <c r="AM32" s="184" t="s">
        <v>19</v>
      </c>
      <c r="AN32" s="185" t="s">
        <v>4514</v>
      </c>
      <c r="BC32" s="209"/>
      <c r="BH32" s="178" t="s">
        <v>751</v>
      </c>
      <c r="BI32" s="178">
        <v>36</v>
      </c>
      <c r="BJ32" s="178" cm="1">
        <f t="array" ref="BJ32">_xlfn.IFS($AI$2&gt;=14,39,$AI$2&gt;=10,38,$AI$2&gt;=6,37,$AI$2&gt;=3,36,1,0)</f>
        <v>0</v>
      </c>
      <c r="BL32" s="194">
        <f>IFERROR(IF(BL31+1&gt;BQ2,IF(BL31+1&gt;BQ2,IF(BP3+BP31&gt;BQ3,"",BP3+BP31)),BL31+1),"")</f>
        <v>27</v>
      </c>
      <c r="BM32" s="194" t="str" cm="1">
        <f t="array" ref="BM32">IFERROR(INDEX(B31:BC180,BL32,BN2),"")</f>
        <v/>
      </c>
      <c r="BN32" s="194" t="str" cm="1">
        <f t="array" ref="BN32">IFERROR(INDEX(B31:BC180,BL32,BO2),"")</f>
        <v/>
      </c>
      <c r="BO32" s="194" t="str" cm="1">
        <f t="array" ref="BO32">IF(IFERROR(INDEX($B$31:$BC$180,BL32,$BM$2),"")=0,"",IFERROR(INDEX($B$31:$BC$180,BL32,$BM$2),""))</f>
        <v/>
      </c>
      <c r="BP32" s="194">
        <f>IFERROR(IF(BL31+1&gt;BQ2,BP31+1,0),"")</f>
        <v>0</v>
      </c>
      <c r="BR32" s="223" t="str">
        <f t="shared" si="0"/>
        <v/>
      </c>
      <c r="BS32" s="224" t="str" cm="1">
        <f t="array" ref="BS32">INDEX(BR:BR,SMALL(IF($BR$2:$BR$101&lt;&gt;"",ROW($BR$2:$BR$101),142),ROW(BR31)))&amp;""</f>
        <v/>
      </c>
      <c r="BT32" s="225" t="str">
        <f t="shared" si="4"/>
        <v/>
      </c>
      <c r="BU32" s="194" t="str">
        <f>IF(主要!AX41="","",主要!AX41)</f>
        <v/>
      </c>
      <c r="BV32" s="194" t="str">
        <f t="shared" si="5"/>
        <v/>
      </c>
    </row>
    <row r="33" spans="1:74" ht="16.2" customHeight="1" x14ac:dyDescent="0.25">
      <c r="A33" s="178">
        <v>3</v>
      </c>
      <c r="B33" s="187"/>
      <c r="C33" s="184" t="s">
        <v>838</v>
      </c>
      <c r="D33" s="185" t="s">
        <v>839</v>
      </c>
      <c r="E33" s="188"/>
      <c r="F33" s="184" t="s">
        <v>838</v>
      </c>
      <c r="G33" s="185" t="s">
        <v>840</v>
      </c>
      <c r="H33" s="188"/>
      <c r="I33" s="184" t="s">
        <v>838</v>
      </c>
      <c r="J33" s="185" t="s">
        <v>840</v>
      </c>
      <c r="K33" s="188"/>
      <c r="L33" s="184" t="s">
        <v>838</v>
      </c>
      <c r="M33" s="185" t="s">
        <v>840</v>
      </c>
      <c r="N33" s="188"/>
      <c r="O33" s="184" t="s">
        <v>838</v>
      </c>
      <c r="P33" s="185" t="s">
        <v>839</v>
      </c>
      <c r="Q33" s="188"/>
      <c r="R33" s="184" t="s">
        <v>838</v>
      </c>
      <c r="S33" s="185" t="s">
        <v>841</v>
      </c>
      <c r="T33" s="188"/>
      <c r="U33" s="184" t="s">
        <v>838</v>
      </c>
      <c r="V33" s="185" t="s">
        <v>839</v>
      </c>
      <c r="W33" s="188"/>
      <c r="X33" s="184" t="s">
        <v>838</v>
      </c>
      <c r="Y33" s="185" t="s">
        <v>839</v>
      </c>
      <c r="Z33" s="188"/>
      <c r="AA33" s="184" t="s">
        <v>838</v>
      </c>
      <c r="AB33" s="185" t="s">
        <v>842</v>
      </c>
      <c r="AC33" s="188"/>
      <c r="AD33" s="184" t="s">
        <v>838</v>
      </c>
      <c r="AE33" s="185" t="s">
        <v>840</v>
      </c>
      <c r="AF33" s="188"/>
      <c r="AG33" s="184" t="s">
        <v>838</v>
      </c>
      <c r="AH33" s="185" t="s">
        <v>840</v>
      </c>
      <c r="AI33" s="188"/>
      <c r="AJ33" s="184" t="s">
        <v>838</v>
      </c>
      <c r="AK33" s="185" t="s">
        <v>840</v>
      </c>
      <c r="AL33" s="188"/>
      <c r="AM33" s="184" t="s">
        <v>838</v>
      </c>
      <c r="AN33" s="185" t="s">
        <v>4515</v>
      </c>
      <c r="BC33" s="209"/>
      <c r="BH33" s="178" t="s">
        <v>752</v>
      </c>
      <c r="BI33" s="178">
        <v>40</v>
      </c>
      <c r="BJ33" s="178" cm="1">
        <f t="array" ref="BJ33">_xlfn.IFS($AI$2&gt;=14,44,$AI$2&gt;=10,43,$AI$2&gt;=6,42,$AI$2&gt;=3,41,1,0)</f>
        <v>0</v>
      </c>
      <c r="BL33" s="194">
        <f>IFERROR(IF(BL32+1&gt;BQ2,IF(BL32+1&gt;BQ2,IF(BP3+BP32&gt;BQ3,"",BP3+BP32)),BL32+1),"")</f>
        <v>28</v>
      </c>
      <c r="BM33" s="194" t="str" cm="1">
        <f t="array" ref="BM33">IFERROR(INDEX(B31:BC180,BL33,BN2),"")</f>
        <v/>
      </c>
      <c r="BN33" s="194" t="str" cm="1">
        <f t="array" ref="BN33">IFERROR(INDEX(B31:BC180,BL33,BO2),"")</f>
        <v/>
      </c>
      <c r="BO33" s="194" t="str" cm="1">
        <f t="array" ref="BO33">IF(IFERROR(INDEX($B$31:$BC$180,BL33,$BM$2),"")=0,"",IFERROR(INDEX($B$31:$BC$180,BL33,$BM$2),""))</f>
        <v/>
      </c>
      <c r="BP33" s="194">
        <f>IFERROR(IF(BL32+1&gt;BQ2,BP32+1,0),"")</f>
        <v>0</v>
      </c>
      <c r="BR33" s="223" t="str">
        <f t="shared" si="0"/>
        <v/>
      </c>
      <c r="BS33" s="224" t="str" cm="1">
        <f t="array" ref="BS33">INDEX(BR:BR,SMALL(IF($BR$2:$BR$101&lt;&gt;"",ROW($BR$2:$BR$101),142),ROW(BR32)))&amp;""</f>
        <v/>
      </c>
      <c r="BT33" s="225" t="str">
        <f t="shared" si="4"/>
        <v/>
      </c>
      <c r="BU33" s="194" t="str">
        <f>IF(主要!AX42="","",主要!AX42)</f>
        <v/>
      </c>
      <c r="BV33" s="194" t="str">
        <f t="shared" si="5"/>
        <v/>
      </c>
    </row>
    <row r="34" spans="1:74" ht="16.2" customHeight="1" x14ac:dyDescent="0.25">
      <c r="A34" s="178">
        <v>4</v>
      </c>
      <c r="B34" s="187"/>
      <c r="C34" s="184" t="s">
        <v>21</v>
      </c>
      <c r="D34" s="185" t="s">
        <v>843</v>
      </c>
      <c r="E34" s="188"/>
      <c r="F34" s="184" t="s">
        <v>21</v>
      </c>
      <c r="G34" s="185" t="s">
        <v>844</v>
      </c>
      <c r="H34" s="188"/>
      <c r="I34" s="184" t="s">
        <v>21</v>
      </c>
      <c r="J34" s="185" t="s">
        <v>843</v>
      </c>
      <c r="K34" s="188"/>
      <c r="L34" s="184" t="s">
        <v>21</v>
      </c>
      <c r="M34" s="185" t="s">
        <v>393</v>
      </c>
      <c r="N34" s="188"/>
      <c r="O34" s="184" t="s">
        <v>21</v>
      </c>
      <c r="P34" s="185" t="s">
        <v>843</v>
      </c>
      <c r="Q34" s="188"/>
      <c r="R34" s="184" t="s">
        <v>21</v>
      </c>
      <c r="S34" s="185" t="s">
        <v>845</v>
      </c>
      <c r="T34" s="188"/>
      <c r="U34" s="184" t="s">
        <v>21</v>
      </c>
      <c r="V34" s="185" t="s">
        <v>843</v>
      </c>
      <c r="W34" s="188"/>
      <c r="X34" s="184" t="s">
        <v>21</v>
      </c>
      <c r="Y34" s="185" t="s">
        <v>843</v>
      </c>
      <c r="Z34" s="188"/>
      <c r="AA34" s="184" t="s">
        <v>21</v>
      </c>
      <c r="AB34" s="185" t="s">
        <v>457</v>
      </c>
      <c r="AC34" s="188"/>
      <c r="AD34" s="184" t="s">
        <v>21</v>
      </c>
      <c r="AE34" s="185" t="s">
        <v>843</v>
      </c>
      <c r="AF34" s="188"/>
      <c r="AG34" s="184" t="s">
        <v>21</v>
      </c>
      <c r="AH34" s="185" t="s">
        <v>843</v>
      </c>
      <c r="AI34" s="188"/>
      <c r="AJ34" s="184" t="s">
        <v>21</v>
      </c>
      <c r="AK34" s="185" t="s">
        <v>843</v>
      </c>
      <c r="AL34" s="188"/>
      <c r="AM34" s="184" t="s">
        <v>21</v>
      </c>
      <c r="AN34" s="185" t="s">
        <v>4720</v>
      </c>
      <c r="BC34" s="209"/>
      <c r="BH34" s="222" t="s">
        <v>754</v>
      </c>
      <c r="BI34" s="222">
        <v>25</v>
      </c>
      <c r="BJ34" s="222" cm="1">
        <f t="array" ref="BJ34">_xlfn.IFS($AI$3&gt;=14,28,$AI$3&gt;=6,27,$AI$3&gt;=3,25,1,0)</f>
        <v>0</v>
      </c>
      <c r="BL34" s="194">
        <f>IFERROR(IF(BL33+1&gt;BQ2,IF(BL33+1&gt;BQ2,IF(BP3+BP33&gt;BQ3,"",BP3+BP33)),BL33+1),"")</f>
        <v>29</v>
      </c>
      <c r="BM34" s="194" t="str" cm="1">
        <f t="array" ref="BM34">IFERROR(INDEX(B31:BC180,BL34,BN2),"")</f>
        <v/>
      </c>
      <c r="BN34" s="194" t="str" cm="1">
        <f t="array" ref="BN34">IFERROR(INDEX(B31:BC180,BL34,BO2),"")</f>
        <v/>
      </c>
      <c r="BO34" s="194" t="str" cm="1">
        <f t="array" ref="BO34">IF(IFERROR(INDEX($B$31:$BC$180,BL34,$BM$2),"")=0,"",IFERROR(INDEX($B$31:$BC$180,BL34,$BM$2),""))</f>
        <v/>
      </c>
      <c r="BP34" s="194">
        <f>IFERROR(IF(BL33+1&gt;BQ2,BP33+1,0),"")</f>
        <v>0</v>
      </c>
      <c r="BR34" s="223" t="str">
        <f t="shared" ref="BR34:BR65" si="6">IFERROR(IF(OR(BM38="",COUNTIF($BU$2:$BU$58,BM38)),"",BM38),"")</f>
        <v/>
      </c>
      <c r="BS34" s="224" t="str" cm="1">
        <f t="array" ref="BS34">INDEX(BR:BR,SMALL(IF($BR$2:$BR$101&lt;&gt;"",ROW($BR$2:$BR$101),142),ROW(BR33)))&amp;""</f>
        <v/>
      </c>
      <c r="BT34" s="225" t="str">
        <f t="shared" si="4"/>
        <v/>
      </c>
      <c r="BU34" s="194" t="str">
        <f>IF(主要!AX43="","",主要!AX43)</f>
        <v/>
      </c>
      <c r="BV34" s="194" t="str">
        <f t="shared" si="5"/>
        <v/>
      </c>
    </row>
    <row r="35" spans="1:74" ht="16.2" customHeight="1" x14ac:dyDescent="0.25">
      <c r="A35" s="178">
        <v>5</v>
      </c>
      <c r="B35" s="187"/>
      <c r="C35" s="184" t="s">
        <v>846</v>
      </c>
      <c r="D35" s="185" t="s">
        <v>847</v>
      </c>
      <c r="E35" s="188"/>
      <c r="F35" s="184" t="s">
        <v>846</v>
      </c>
      <c r="G35" s="185" t="s">
        <v>848</v>
      </c>
      <c r="H35" s="188"/>
      <c r="I35" s="184" t="s">
        <v>846</v>
      </c>
      <c r="J35" s="185" t="s">
        <v>847</v>
      </c>
      <c r="K35" s="188"/>
      <c r="L35" s="184" t="s">
        <v>846</v>
      </c>
      <c r="M35" s="185" t="s">
        <v>849</v>
      </c>
      <c r="N35" s="188"/>
      <c r="O35" s="184" t="s">
        <v>846</v>
      </c>
      <c r="P35" s="185" t="s">
        <v>850</v>
      </c>
      <c r="Q35" s="188"/>
      <c r="R35" s="184" t="s">
        <v>846</v>
      </c>
      <c r="S35" s="185" t="s">
        <v>843</v>
      </c>
      <c r="T35" s="188"/>
      <c r="U35" s="184" t="s">
        <v>846</v>
      </c>
      <c r="V35" s="185" t="s">
        <v>850</v>
      </c>
      <c r="W35" s="188"/>
      <c r="X35" s="184" t="s">
        <v>846</v>
      </c>
      <c r="Y35" s="185" t="s">
        <v>847</v>
      </c>
      <c r="Z35" s="188"/>
      <c r="AA35" s="184" t="s">
        <v>846</v>
      </c>
      <c r="AB35" s="185" t="s">
        <v>848</v>
      </c>
      <c r="AC35" s="188"/>
      <c r="AD35" s="184" t="s">
        <v>846</v>
      </c>
      <c r="AE35" s="185" t="s">
        <v>843</v>
      </c>
      <c r="AF35" s="188"/>
      <c r="AG35" s="184" t="s">
        <v>846</v>
      </c>
      <c r="AH35" s="185" t="s">
        <v>848</v>
      </c>
      <c r="AI35" s="188"/>
      <c r="AJ35" s="184" t="s">
        <v>846</v>
      </c>
      <c r="AK35" s="185" t="s">
        <v>843</v>
      </c>
      <c r="AL35" s="188"/>
      <c r="AM35" s="184" t="s">
        <v>846</v>
      </c>
      <c r="AN35" s="185" t="s">
        <v>4516</v>
      </c>
      <c r="BC35" s="209"/>
      <c r="BH35" s="178" t="s">
        <v>755</v>
      </c>
      <c r="BI35" s="178">
        <v>29</v>
      </c>
      <c r="BJ35" s="178" cm="1">
        <f t="array" ref="BJ35">_xlfn.IFS($AI$3&gt;=14,32,$AI$3&gt;=6,31,$AI$3&gt;=3,30,1,0)</f>
        <v>0</v>
      </c>
      <c r="BL35" s="194">
        <f>IFERROR(IF(BL34+1&gt;BQ2,IF(BL34+1&gt;BQ2,IF(BP3+BP34&gt;BQ3,"",BP3+BP34)),BL34+1),"")</f>
        <v>30</v>
      </c>
      <c r="BM35" s="194" t="str" cm="1">
        <f t="array" ref="BM35">IFERROR(INDEX(B31:BC180,BL35,BN2),"")</f>
        <v/>
      </c>
      <c r="BN35" s="194" t="str" cm="1">
        <f t="array" ref="BN35">IFERROR(INDEX(B31:BC180,BL35,BO2),"")</f>
        <v/>
      </c>
      <c r="BO35" s="194" t="str" cm="1">
        <f t="array" ref="BO35">IF(IFERROR(INDEX($B$31:$BC$180,BL35,$BM$2),"")=0,"",IFERROR(INDEX($B$31:$BC$180,BL35,$BM$2),""))</f>
        <v/>
      </c>
      <c r="BP35" s="194">
        <f>IFERROR(IF(BL34+1&gt;BQ2,BP34+1,0),"")</f>
        <v>0</v>
      </c>
      <c r="BR35" s="223" t="str">
        <f t="shared" si="6"/>
        <v/>
      </c>
      <c r="BS35" s="224" t="str" cm="1">
        <f t="array" ref="BS35">INDEX(BR:BR,SMALL(IF($BR$2:$BR$101&lt;&gt;"",ROW($BR$2:$BR$101),142),ROW(BR34)))&amp;""</f>
        <v/>
      </c>
      <c r="BT35" s="225" t="str">
        <f t="shared" si="4"/>
        <v/>
      </c>
      <c r="BU35" s="194" t="str">
        <f>IF(主要!AX44="","",主要!AX44)</f>
        <v/>
      </c>
      <c r="BV35" s="194" t="str">
        <f t="shared" si="5"/>
        <v/>
      </c>
    </row>
    <row r="36" spans="1:74" ht="16.2" customHeight="1" x14ac:dyDescent="0.25">
      <c r="A36" s="178">
        <v>6</v>
      </c>
      <c r="B36" s="187"/>
      <c r="C36" s="184" t="s">
        <v>851</v>
      </c>
      <c r="D36" s="185" t="s">
        <v>852</v>
      </c>
      <c r="E36" s="188"/>
      <c r="F36" s="184" t="s">
        <v>851</v>
      </c>
      <c r="G36" s="185" t="s">
        <v>853</v>
      </c>
      <c r="H36" s="188"/>
      <c r="I36" s="184" t="s">
        <v>851</v>
      </c>
      <c r="J36" s="185" t="s">
        <v>854</v>
      </c>
      <c r="K36" s="188"/>
      <c r="L36" s="184" t="s">
        <v>851</v>
      </c>
      <c r="M36" s="185" t="s">
        <v>855</v>
      </c>
      <c r="N36" s="188"/>
      <c r="O36" s="184" t="s">
        <v>851</v>
      </c>
      <c r="P36" s="185" t="s">
        <v>856</v>
      </c>
      <c r="Q36" s="188"/>
      <c r="R36" s="184" t="s">
        <v>851</v>
      </c>
      <c r="S36" s="185" t="s">
        <v>857</v>
      </c>
      <c r="T36" s="188"/>
      <c r="U36" s="184" t="s">
        <v>851</v>
      </c>
      <c r="V36" s="185" t="s">
        <v>858</v>
      </c>
      <c r="W36" s="188"/>
      <c r="X36" s="184" t="s">
        <v>851</v>
      </c>
      <c r="Y36" s="185" t="s">
        <v>859</v>
      </c>
      <c r="Z36" s="188"/>
      <c r="AA36" s="184" t="s">
        <v>851</v>
      </c>
      <c r="AB36" s="185" t="s">
        <v>860</v>
      </c>
      <c r="AC36" s="188"/>
      <c r="AD36" s="184" t="s">
        <v>851</v>
      </c>
      <c r="AE36" s="185" t="s">
        <v>861</v>
      </c>
      <c r="AF36" s="188"/>
      <c r="AG36" s="184" t="s">
        <v>851</v>
      </c>
      <c r="AH36" s="185" t="s">
        <v>862</v>
      </c>
      <c r="AI36" s="188"/>
      <c r="AJ36" s="184" t="s">
        <v>851</v>
      </c>
      <c r="AK36" s="185" t="s">
        <v>863</v>
      </c>
      <c r="AL36" s="188"/>
      <c r="AM36" s="184" t="s">
        <v>851</v>
      </c>
      <c r="AN36" s="185" t="s">
        <v>4517</v>
      </c>
      <c r="BC36" s="209"/>
      <c r="BH36" s="178" t="s">
        <v>756</v>
      </c>
      <c r="BI36" s="178">
        <v>33</v>
      </c>
      <c r="BJ36" s="178" cm="1">
        <f t="array" ref="BJ36">_xlfn.IFS($AI$3&gt;=14,36,$AI$3&gt;=6,35,$AI$3&gt;=3,34,1,0)</f>
        <v>0</v>
      </c>
      <c r="BL36" s="194">
        <f>IFERROR(IF(BL35+1&gt;BQ2,IF(BL35+1&gt;BQ2,IF(BP3+BP35&gt;BQ3,"",BP3+BP35)),BL35+1),"")</f>
        <v>31</v>
      </c>
      <c r="BM36" s="194" t="str" cm="1">
        <f t="array" ref="BM36">IFERROR(INDEX(B31:BC180,BL36,BN2),"")</f>
        <v/>
      </c>
      <c r="BN36" s="194" t="str" cm="1">
        <f t="array" ref="BN36">IFERROR(INDEX(B31:BC180,BL36,BO2),"")</f>
        <v/>
      </c>
      <c r="BO36" s="194" t="str" cm="1">
        <f t="array" ref="BO36">IF(IFERROR(INDEX($B$31:$BC$180,BL36,$BM$2),"")=0,"",IFERROR(INDEX($B$31:$BC$180,BL36,$BM$2),""))</f>
        <v/>
      </c>
      <c r="BP36" s="194">
        <f>IFERROR(IF(BL35+1&gt;BQ2,BP35+1,0),"")</f>
        <v>0</v>
      </c>
      <c r="BR36" s="223" t="str">
        <f t="shared" si="6"/>
        <v/>
      </c>
      <c r="BS36" s="224" t="str" cm="1">
        <f t="array" ref="BS36">INDEX(BR:BR,SMALL(IF($BR$2:$BR$101&lt;&gt;"",ROW($BR$2:$BR$101),142),ROW(BR35)))&amp;""</f>
        <v/>
      </c>
      <c r="BT36" s="225" t="str">
        <f t="shared" si="4"/>
        <v/>
      </c>
      <c r="BU36" s="194" t="str">
        <f>IF(主要!AX45="","",主要!AX45)</f>
        <v/>
      </c>
      <c r="BV36" s="194" t="str">
        <f t="shared" si="5"/>
        <v/>
      </c>
    </row>
    <row r="37" spans="1:74" ht="16.2" customHeight="1" x14ac:dyDescent="0.25">
      <c r="A37" s="178">
        <v>7</v>
      </c>
      <c r="B37" s="187">
        <v>1</v>
      </c>
      <c r="C37" s="178" t="s">
        <v>864</v>
      </c>
      <c r="D37" s="189" t="s">
        <v>865</v>
      </c>
      <c r="E37" s="178">
        <v>1</v>
      </c>
      <c r="F37" s="178" t="s">
        <v>866</v>
      </c>
      <c r="G37" s="189" t="s">
        <v>867</v>
      </c>
      <c r="H37" s="178">
        <v>1</v>
      </c>
      <c r="I37" s="178" t="s">
        <v>868</v>
      </c>
      <c r="J37" s="189" t="s">
        <v>869</v>
      </c>
      <c r="K37" s="178">
        <v>1</v>
      </c>
      <c r="L37" s="178" t="s">
        <v>868</v>
      </c>
      <c r="M37" s="189" t="s">
        <v>870</v>
      </c>
      <c r="N37" s="188">
        <v>1</v>
      </c>
      <c r="O37" s="178" t="s">
        <v>871</v>
      </c>
      <c r="P37" s="189" t="s">
        <v>872</v>
      </c>
      <c r="Q37" s="178">
        <v>1</v>
      </c>
      <c r="R37" s="178" t="s">
        <v>873</v>
      </c>
      <c r="S37" s="189" t="s">
        <v>874</v>
      </c>
      <c r="T37" s="178">
        <v>1</v>
      </c>
      <c r="U37" s="178" t="s">
        <v>875</v>
      </c>
      <c r="V37" s="189" t="s">
        <v>876</v>
      </c>
      <c r="W37" s="178">
        <v>1</v>
      </c>
      <c r="X37" s="178" t="s">
        <v>868</v>
      </c>
      <c r="Y37" s="189" t="s">
        <v>877</v>
      </c>
      <c r="Z37" s="178">
        <v>1</v>
      </c>
      <c r="AA37" s="178" t="s">
        <v>878</v>
      </c>
      <c r="AB37" s="189" t="s">
        <v>879</v>
      </c>
      <c r="AC37" s="178">
        <v>1</v>
      </c>
      <c r="AD37" s="178" t="s">
        <v>868</v>
      </c>
      <c r="AE37" s="189" t="s">
        <v>880</v>
      </c>
      <c r="AF37" s="178">
        <v>1</v>
      </c>
      <c r="AG37" s="178" t="s">
        <v>881</v>
      </c>
      <c r="AH37" s="189" t="s">
        <v>882</v>
      </c>
      <c r="AI37" s="178">
        <v>1</v>
      </c>
      <c r="AJ37" s="178" t="s">
        <v>868</v>
      </c>
      <c r="AK37" s="189" t="s">
        <v>883</v>
      </c>
      <c r="AL37" s="178">
        <v>1</v>
      </c>
      <c r="AM37" s="178" t="s">
        <v>4518</v>
      </c>
      <c r="AN37" s="189" t="s">
        <v>4519</v>
      </c>
      <c r="BC37" s="209"/>
      <c r="BH37" s="178" t="s">
        <v>757</v>
      </c>
      <c r="BI37" s="178">
        <v>37</v>
      </c>
      <c r="BJ37" s="178" cm="1">
        <f t="array" ref="BJ37">_xlfn.IFS($AI$3&gt;=14,40,$AI$3&gt;=6,39,$AI$3&gt;=3,38,1,0)</f>
        <v>0</v>
      </c>
      <c r="BL37" s="194">
        <f>IFERROR(IF(BL36+1&gt;BQ2,IF(BL36+1&gt;BQ2,IF(BP3+BP36&gt;BQ3,"",BP3+BP36)),BL36+1),"")</f>
        <v>32</v>
      </c>
      <c r="BM37" s="194" t="str" cm="1">
        <f t="array" ref="BM37">IFERROR(INDEX(B31:BC180,BL37,BN2),"")</f>
        <v/>
      </c>
      <c r="BN37" s="194" t="str" cm="1">
        <f t="array" ref="BN37">IFERROR(INDEX(B31:BC180,BL37,BO2),"")</f>
        <v/>
      </c>
      <c r="BO37" s="194" t="str" cm="1">
        <f t="array" ref="BO37">IF(IFERROR(INDEX($B$31:$BC$180,BL37,$BM$2),"")=0,"",IFERROR(INDEX($B$31:$BC$180,BL37,$BM$2),""))</f>
        <v/>
      </c>
      <c r="BP37" s="194">
        <f>IFERROR(IF(BL36+1&gt;BQ2,BP36+1,0),"")</f>
        <v>0</v>
      </c>
      <c r="BR37" s="223" t="str">
        <f t="shared" si="6"/>
        <v/>
      </c>
      <c r="BS37" s="224" t="str" cm="1">
        <f t="array" ref="BS37">INDEX(BR:BR,SMALL(IF($BR$2:$BR$101&lt;&gt;"",ROW($BR$2:$BR$101),142),ROW(BR36)))&amp;""</f>
        <v/>
      </c>
      <c r="BT37" s="225" t="str">
        <f t="shared" si="4"/>
        <v/>
      </c>
      <c r="BU37" s="194" t="str">
        <f>IF(主要!AX46="","",主要!AX46)</f>
        <v/>
      </c>
      <c r="BV37" s="194" t="str">
        <f t="shared" si="5"/>
        <v/>
      </c>
    </row>
    <row r="38" spans="1:74" ht="16.2" customHeight="1" thickBot="1" x14ac:dyDescent="0.3">
      <c r="A38" s="178">
        <v>8</v>
      </c>
      <c r="B38" s="187">
        <v>1</v>
      </c>
      <c r="C38" s="178" t="s">
        <v>884</v>
      </c>
      <c r="D38" s="189" t="s">
        <v>885</v>
      </c>
      <c r="E38" s="178">
        <v>1</v>
      </c>
      <c r="F38" s="178" t="s">
        <v>868</v>
      </c>
      <c r="G38" s="189" t="s">
        <v>886</v>
      </c>
      <c r="I38" s="178" t="s">
        <v>225</v>
      </c>
      <c r="J38" s="189" t="s">
        <v>887</v>
      </c>
      <c r="L38" s="178" t="s">
        <v>225</v>
      </c>
      <c r="M38" s="189" t="s">
        <v>888</v>
      </c>
      <c r="N38" s="178">
        <v>1</v>
      </c>
      <c r="O38" s="178" t="s">
        <v>889</v>
      </c>
      <c r="P38" s="189" t="s">
        <v>890</v>
      </c>
      <c r="Q38" s="178">
        <v>1</v>
      </c>
      <c r="R38" s="178" t="s">
        <v>884</v>
      </c>
      <c r="S38" s="189" t="s">
        <v>891</v>
      </c>
      <c r="T38" s="178">
        <v>1</v>
      </c>
      <c r="U38" s="178" t="s">
        <v>868</v>
      </c>
      <c r="V38" s="189" t="s">
        <v>892</v>
      </c>
      <c r="X38" s="178" t="s">
        <v>185</v>
      </c>
      <c r="Y38" s="189" t="s">
        <v>893</v>
      </c>
      <c r="Z38" s="178">
        <v>1</v>
      </c>
      <c r="AA38" s="178" t="s">
        <v>894</v>
      </c>
      <c r="AB38" s="189" t="s">
        <v>895</v>
      </c>
      <c r="AD38" s="178" t="s">
        <v>225</v>
      </c>
      <c r="AE38" s="189" t="s">
        <v>896</v>
      </c>
      <c r="AG38" s="192" t="s">
        <v>897</v>
      </c>
      <c r="AH38" s="193" t="s">
        <v>898</v>
      </c>
      <c r="AJ38" s="178" t="s">
        <v>225</v>
      </c>
      <c r="AK38" s="189" t="s">
        <v>899</v>
      </c>
      <c r="AL38" s="178">
        <v>1</v>
      </c>
      <c r="AM38" s="178" t="s">
        <v>868</v>
      </c>
      <c r="AN38" s="189" t="s">
        <v>4521</v>
      </c>
      <c r="BC38" s="209"/>
      <c r="BH38" s="178" t="s">
        <v>4418</v>
      </c>
      <c r="BI38" s="178">
        <v>41</v>
      </c>
      <c r="BJ38" s="178" cm="1">
        <f t="array" ref="BJ38">_xlfn.IFS($AI$3&gt;=14,44,$AI$3&gt;=6,43,$AI$3&gt;=3,42,1,0)</f>
        <v>0</v>
      </c>
      <c r="BL38" s="194">
        <f>IFERROR(IF(BL37+1&gt;BQ2,IF(BL37+1&gt;BQ2,IF(BP3+BP37&gt;BQ3,"",BP3+BP37)),BL37+1),"")</f>
        <v>33</v>
      </c>
      <c r="BM38" s="194" t="str" cm="1">
        <f t="array" ref="BM38">IFERROR(INDEX(B31:BC180,BL38,BN2),"")</f>
        <v/>
      </c>
      <c r="BN38" s="194" t="str" cm="1">
        <f t="array" ref="BN38">IFERROR(INDEX(B31:BC180,BL38,BO2),"")</f>
        <v/>
      </c>
      <c r="BO38" s="194" t="str" cm="1">
        <f t="array" ref="BO38">IF(IFERROR(INDEX($B$31:$BC$180,BL38,$BM$2),"")=0,"",IFERROR(INDEX($B$31:$BC$180,BL38,$BM$2),""))</f>
        <v/>
      </c>
      <c r="BP38" s="194">
        <f>IFERROR(IF(BL37+1&gt;BQ2,BP37+1,0),"")</f>
        <v>0</v>
      </c>
      <c r="BR38" s="223" t="str">
        <f t="shared" si="6"/>
        <v/>
      </c>
      <c r="BS38" s="224" t="str" cm="1">
        <f t="array" ref="BS38">INDEX(BR:BR,SMALL(IF($BR$2:$BR$101&lt;&gt;"",ROW($BR$2:$BR$101),142),ROW(BR37)))&amp;""</f>
        <v/>
      </c>
      <c r="BT38" s="225" t="str">
        <f t="shared" si="4"/>
        <v/>
      </c>
      <c r="BU38" s="194" t="str">
        <f>IF(主要!AX47="","",主要!AX47)</f>
        <v/>
      </c>
      <c r="BV38" s="194" t="str">
        <f t="shared" si="5"/>
        <v/>
      </c>
    </row>
    <row r="39" spans="1:74" ht="16.2" customHeight="1" thickTop="1" x14ac:dyDescent="0.25">
      <c r="A39" s="178">
        <v>9</v>
      </c>
      <c r="B39" s="187">
        <v>1</v>
      </c>
      <c r="C39" s="178" t="s">
        <v>900</v>
      </c>
      <c r="D39" s="189" t="s">
        <v>901</v>
      </c>
      <c r="F39" s="178" t="s">
        <v>225</v>
      </c>
      <c r="G39" s="189" t="s">
        <v>902</v>
      </c>
      <c r="I39" s="178" t="s">
        <v>185</v>
      </c>
      <c r="J39" s="189" t="s">
        <v>903</v>
      </c>
      <c r="L39" s="178" t="s">
        <v>185</v>
      </c>
      <c r="M39" s="189" t="s">
        <v>904</v>
      </c>
      <c r="N39" s="178">
        <v>1</v>
      </c>
      <c r="O39" s="178" t="s">
        <v>900</v>
      </c>
      <c r="P39" s="189" t="s">
        <v>905</v>
      </c>
      <c r="Q39" s="178">
        <v>2</v>
      </c>
      <c r="R39" s="178" t="s">
        <v>906</v>
      </c>
      <c r="S39" s="189" t="s">
        <v>907</v>
      </c>
      <c r="U39" s="178" t="s">
        <v>185</v>
      </c>
      <c r="V39" s="189" t="s">
        <v>908</v>
      </c>
      <c r="X39" s="178" t="s">
        <v>909</v>
      </c>
      <c r="Y39" s="189" t="s">
        <v>910</v>
      </c>
      <c r="Z39" s="178">
        <v>1</v>
      </c>
      <c r="AA39" s="178" t="s">
        <v>365</v>
      </c>
      <c r="AB39" s="189" t="s">
        <v>911</v>
      </c>
      <c r="AD39" s="178" t="s">
        <v>185</v>
      </c>
      <c r="AE39" s="189" t="s">
        <v>912</v>
      </c>
      <c r="AG39" s="192" t="s">
        <v>913</v>
      </c>
      <c r="AH39" s="193" t="s">
        <v>914</v>
      </c>
      <c r="AJ39" s="178" t="s">
        <v>200</v>
      </c>
      <c r="AK39" s="189" t="s">
        <v>915</v>
      </c>
      <c r="AM39" s="178" t="s">
        <v>4522</v>
      </c>
      <c r="AN39" s="189" t="s">
        <v>4520</v>
      </c>
      <c r="BC39" s="209"/>
      <c r="BH39" s="222" t="s">
        <v>759</v>
      </c>
      <c r="BI39" s="222">
        <v>26</v>
      </c>
      <c r="BJ39" s="222" cm="1">
        <f t="array" ref="BJ39">_xlfn.IFS($AI$4&gt;=17,30,$AI$4&gt;=6,29,$AI$4&gt;=3,28,1,0)</f>
        <v>0</v>
      </c>
      <c r="BL39" s="194">
        <f>IFERROR(IF(BL38+1&gt;BQ2,IF(BL38+1&gt;BQ2,IF(BP3+BP38&gt;BQ3,"",BP3+BP38)),BL38+1),"")</f>
        <v>34</v>
      </c>
      <c r="BM39" s="194" t="str" cm="1">
        <f t="array" ref="BM39">IFERROR(INDEX(B31:BC180,BL39,BN2),"")</f>
        <v/>
      </c>
      <c r="BN39" s="194" t="str" cm="1">
        <f t="array" ref="BN39">IFERROR(INDEX(B31:BC180,BL39,BO2),"")</f>
        <v/>
      </c>
      <c r="BO39" s="194" t="str" cm="1">
        <f t="array" ref="BO39">IF(IFERROR(INDEX($B$31:$BC$180,BL39,$BM$2),"")=0,"",IFERROR(INDEX($B$31:$BC$180,BL39,$BM$2),""))</f>
        <v/>
      </c>
      <c r="BP39" s="194">
        <f>IFERROR(IF(BL38+1&gt;BQ2,BP38+1,0),"")</f>
        <v>0</v>
      </c>
      <c r="BR39" s="223" t="str">
        <f t="shared" si="6"/>
        <v/>
      </c>
      <c r="BS39" s="224" t="str" cm="1">
        <f t="array" ref="BS39">INDEX(BR:BR,SMALL(IF($BR$2:$BR$101&lt;&gt;"",ROW($BR$2:$BR$101),142),ROW(BR38)))&amp;""</f>
        <v/>
      </c>
      <c r="BT39" s="225" t="str">
        <f t="shared" si="4"/>
        <v/>
      </c>
      <c r="BU39" s="194" t="str">
        <f>IF(主要!AX48="","",主要!AX48)</f>
        <v/>
      </c>
      <c r="BV39" s="194" t="str">
        <f t="shared" si="5"/>
        <v/>
      </c>
    </row>
    <row r="40" spans="1:74" ht="16.2" customHeight="1" x14ac:dyDescent="0.25">
      <c r="A40" s="178">
        <v>10</v>
      </c>
      <c r="B40" s="187">
        <v>2</v>
      </c>
      <c r="C40" s="178" t="s">
        <v>916</v>
      </c>
      <c r="D40" s="189" t="s">
        <v>917</v>
      </c>
      <c r="F40" s="178" t="s">
        <v>185</v>
      </c>
      <c r="G40" s="189" t="s">
        <v>918</v>
      </c>
      <c r="I40" s="178" t="s">
        <v>909</v>
      </c>
      <c r="J40" s="189" t="s">
        <v>919</v>
      </c>
      <c r="L40" s="178" t="s">
        <v>909</v>
      </c>
      <c r="M40" s="189" t="s">
        <v>920</v>
      </c>
      <c r="N40" s="178">
        <v>2</v>
      </c>
      <c r="O40" s="178" t="s">
        <v>921</v>
      </c>
      <c r="P40" s="189" t="s">
        <v>922</v>
      </c>
      <c r="Q40" s="178">
        <v>2</v>
      </c>
      <c r="R40" s="178" t="s">
        <v>923</v>
      </c>
      <c r="S40" s="189" t="s">
        <v>924</v>
      </c>
      <c r="U40" s="178" t="s">
        <v>909</v>
      </c>
      <c r="V40" s="189" t="s">
        <v>925</v>
      </c>
      <c r="X40" s="178" t="s">
        <v>926</v>
      </c>
      <c r="Y40" s="189" t="s">
        <v>927</v>
      </c>
      <c r="Z40" s="178">
        <v>1</v>
      </c>
      <c r="AA40" s="178" t="s">
        <v>900</v>
      </c>
      <c r="AB40" s="189" t="s">
        <v>928</v>
      </c>
      <c r="AD40" s="178" t="s">
        <v>909</v>
      </c>
      <c r="AE40" s="189" t="s">
        <v>929</v>
      </c>
      <c r="AG40" s="192" t="s">
        <v>930</v>
      </c>
      <c r="AH40" s="193" t="s">
        <v>931</v>
      </c>
      <c r="AJ40" s="178" t="s">
        <v>185</v>
      </c>
      <c r="AK40" s="189" t="s">
        <v>932</v>
      </c>
      <c r="AM40" s="178" t="s">
        <v>4523</v>
      </c>
      <c r="AN40" s="189" t="s">
        <v>4539</v>
      </c>
      <c r="BC40" s="209"/>
      <c r="BH40" s="178" t="s">
        <v>760</v>
      </c>
      <c r="BI40" s="178">
        <v>31</v>
      </c>
      <c r="BJ40" s="178" cm="1">
        <f t="array" ref="BJ40">_xlfn.IFS($AI$4&gt;=17,35,$AI$4&gt;=6,34,$AI$4&gt;=3,33,1,0)</f>
        <v>0</v>
      </c>
      <c r="BL40" s="194">
        <f>IFERROR(IF(BL39+1&gt;BQ2,IF(BL39+1&gt;BQ2,IF(BP3+BP39&gt;BQ3,"",BP3+BP39)),BL39+1),"")</f>
        <v>35</v>
      </c>
      <c r="BM40" s="194" t="str" cm="1">
        <f t="array" ref="BM40">IFERROR(INDEX(B31:BC180,BL40,BN2),"")</f>
        <v/>
      </c>
      <c r="BN40" s="194" t="str" cm="1">
        <f t="array" ref="BN40">IFERROR(INDEX(B31:BC180,BL40,BO2),"")</f>
        <v/>
      </c>
      <c r="BO40" s="194" t="str" cm="1">
        <f t="array" ref="BO40">IF(IFERROR(INDEX($B$31:$BC$180,BL40,$BM$2),"")=0,"",IFERROR(INDEX($B$31:$BC$180,BL40,$BM$2),""))</f>
        <v/>
      </c>
      <c r="BP40" s="194">
        <f>IFERROR(IF(BL39+1&gt;BQ2,BP39+1,0),"")</f>
        <v>0</v>
      </c>
      <c r="BR40" s="223" t="str">
        <f t="shared" si="6"/>
        <v/>
      </c>
      <c r="BS40" s="224" t="str" cm="1">
        <f t="array" ref="BS40">INDEX(BR:BR,SMALL(IF($BR$2:$BR$101&lt;&gt;"",ROW($BR$2:$BR$101),142),ROW(BR39)))&amp;""</f>
        <v/>
      </c>
      <c r="BT40" s="225" t="str">
        <f t="shared" si="4"/>
        <v/>
      </c>
      <c r="BU40" s="194" t="str">
        <f>IF(主要!AX49="","",主要!AX49)</f>
        <v/>
      </c>
      <c r="BV40" s="194" t="str">
        <f t="shared" si="5"/>
        <v/>
      </c>
    </row>
    <row r="41" spans="1:74" ht="16.2" customHeight="1" x14ac:dyDescent="0.25">
      <c r="A41" s="178">
        <v>11</v>
      </c>
      <c r="B41" s="187">
        <v>2</v>
      </c>
      <c r="C41" s="178" t="s">
        <v>933</v>
      </c>
      <c r="D41" s="189" t="s">
        <v>934</v>
      </c>
      <c r="F41" s="178" t="s">
        <v>909</v>
      </c>
      <c r="G41" s="189" t="s">
        <v>935</v>
      </c>
      <c r="I41" s="178" t="s">
        <v>926</v>
      </c>
      <c r="J41" s="189" t="s">
        <v>936</v>
      </c>
      <c r="L41" s="178" t="s">
        <v>926</v>
      </c>
      <c r="M41" s="189" t="s">
        <v>937</v>
      </c>
      <c r="N41" s="178">
        <v>2</v>
      </c>
      <c r="O41" s="178" t="s">
        <v>938</v>
      </c>
      <c r="P41" s="189" t="s">
        <v>939</v>
      </c>
      <c r="Q41" s="178">
        <v>2</v>
      </c>
      <c r="R41" s="178" t="s">
        <v>940</v>
      </c>
      <c r="S41" s="189" t="s">
        <v>941</v>
      </c>
      <c r="U41" s="178" t="s">
        <v>926</v>
      </c>
      <c r="V41" s="189" t="s">
        <v>942</v>
      </c>
      <c r="X41" s="178" t="s">
        <v>943</v>
      </c>
      <c r="Y41" s="189" t="s">
        <v>944</v>
      </c>
      <c r="Z41" s="178">
        <v>2</v>
      </c>
      <c r="AA41" s="178" t="s">
        <v>945</v>
      </c>
      <c r="AB41" s="189" t="s">
        <v>946</v>
      </c>
      <c r="AD41" s="178" t="s">
        <v>926</v>
      </c>
      <c r="AE41" s="189" t="s">
        <v>947</v>
      </c>
      <c r="AG41" s="192" t="s">
        <v>948</v>
      </c>
      <c r="AH41" s="193" t="s">
        <v>949</v>
      </c>
      <c r="AJ41" s="178" t="s">
        <v>909</v>
      </c>
      <c r="AK41" s="189" t="s">
        <v>950</v>
      </c>
      <c r="AM41" s="178" t="s">
        <v>225</v>
      </c>
      <c r="AN41" s="189" t="s">
        <v>4540</v>
      </c>
      <c r="BC41" s="209"/>
      <c r="BH41" s="178" t="s">
        <v>761</v>
      </c>
      <c r="BI41" s="178">
        <v>36</v>
      </c>
      <c r="BJ41" s="178" cm="1">
        <f t="array" ref="BJ41">_xlfn.IFS($AI$4&gt;=17,40,$AI$4&gt;=6,39,$AI$4&gt;=3,38,1,0)</f>
        <v>0</v>
      </c>
      <c r="BL41" s="194">
        <f>IFERROR(IF(BL40+1&gt;BQ2,IF(BL40+1&gt;BQ2,IF(BP3+BP40&gt;BQ3,"",BP3+BP40)),BL40+1),"")</f>
        <v>36</v>
      </c>
      <c r="BM41" s="194" t="str" cm="1">
        <f t="array" ref="BM41">IFERROR(INDEX(B31:BC180,BL41,BN2),"")</f>
        <v/>
      </c>
      <c r="BN41" s="194" t="str" cm="1">
        <f t="array" ref="BN41">IFERROR(INDEX(B31:BC180,BL41,BO2),"")</f>
        <v/>
      </c>
      <c r="BO41" s="194" t="str" cm="1">
        <f t="array" ref="BO41">IF(IFERROR(INDEX($B$31:$BC$180,BL41,$BM$2),"")=0,"",IFERROR(INDEX($B$31:$BC$180,BL41,$BM$2),""))</f>
        <v/>
      </c>
      <c r="BP41" s="194">
        <f>IFERROR(IF(BL40+1&gt;BQ2,BP40+1,0),"")</f>
        <v>0</v>
      </c>
      <c r="BR41" s="223" t="str">
        <f t="shared" si="6"/>
        <v/>
      </c>
      <c r="BS41" s="224" t="str" cm="1">
        <f t="array" ref="BS41">INDEX(BR:BR,SMALL(IF($BR$2:$BR$101&lt;&gt;"",ROW($BR$2:$BR$101),142),ROW(BR40)))&amp;""</f>
        <v/>
      </c>
      <c r="BT41" s="225" t="str">
        <f t="shared" si="4"/>
        <v/>
      </c>
      <c r="BU41" s="194" t="str">
        <f>IF(主要!AX50="","",主要!AX50)</f>
        <v/>
      </c>
      <c r="BV41" s="194" t="str">
        <f t="shared" si="5"/>
        <v/>
      </c>
    </row>
    <row r="42" spans="1:74" ht="16.2" customHeight="1" x14ac:dyDescent="0.25">
      <c r="A42" s="178">
        <v>12</v>
      </c>
      <c r="B42" s="187">
        <v>3</v>
      </c>
      <c r="C42" s="178" t="s">
        <v>951</v>
      </c>
      <c r="D42" s="189" t="s">
        <v>952</v>
      </c>
      <c r="F42" s="178" t="s">
        <v>926</v>
      </c>
      <c r="G42" s="189" t="s">
        <v>953</v>
      </c>
      <c r="I42" s="178" t="s">
        <v>943</v>
      </c>
      <c r="J42" s="189" t="s">
        <v>954</v>
      </c>
      <c r="L42" s="178" t="s">
        <v>943</v>
      </c>
      <c r="M42" s="189" t="s">
        <v>955</v>
      </c>
      <c r="N42" s="178">
        <v>3</v>
      </c>
      <c r="O42" s="178" t="s">
        <v>956</v>
      </c>
      <c r="P42" s="189" t="s">
        <v>957</v>
      </c>
      <c r="Q42" s="178">
        <v>3</v>
      </c>
      <c r="R42" s="178" t="s">
        <v>958</v>
      </c>
      <c r="S42" s="189" t="s">
        <v>959</v>
      </c>
      <c r="U42" s="178" t="s">
        <v>943</v>
      </c>
      <c r="V42" s="189" t="s">
        <v>960</v>
      </c>
      <c r="X42" s="178" t="s">
        <v>961</v>
      </c>
      <c r="Y42" s="189" t="s">
        <v>962</v>
      </c>
      <c r="Z42" s="178">
        <v>3</v>
      </c>
      <c r="AA42" s="178" t="s">
        <v>963</v>
      </c>
      <c r="AB42" s="189" t="s">
        <v>964</v>
      </c>
      <c r="AD42" s="178" t="s">
        <v>943</v>
      </c>
      <c r="AE42" s="189" t="s">
        <v>965</v>
      </c>
      <c r="AG42" s="192" t="s">
        <v>966</v>
      </c>
      <c r="AH42" s="193" t="s">
        <v>967</v>
      </c>
      <c r="AJ42" s="178" t="s">
        <v>926</v>
      </c>
      <c r="AK42" s="189" t="s">
        <v>968</v>
      </c>
      <c r="AM42" s="178" t="s">
        <v>185</v>
      </c>
      <c r="AN42" s="189" t="s">
        <v>4541</v>
      </c>
      <c r="BC42" s="209"/>
      <c r="BH42" s="178" t="s">
        <v>762</v>
      </c>
      <c r="BI42" s="178">
        <v>41</v>
      </c>
      <c r="BJ42" s="178" cm="1">
        <f t="array" ref="BJ42">_xlfn.IFS($AI$4&gt;=17,45,$AI$4&gt;=6,44,$AI$4&gt;=3,43,1,0)</f>
        <v>0</v>
      </c>
      <c r="BL42" s="194">
        <f>IFERROR(IF(BL41+1&gt;BQ2,IF(BL41+1&gt;BQ2,IF(BP3+BP41&gt;BQ3,"",BP3+BP41)),BL41+1),"")</f>
        <v>37</v>
      </c>
      <c r="BM42" s="194" t="str" cm="1">
        <f t="array" ref="BM42">IFERROR(INDEX(B31:BC180,BL42,BN2),"")</f>
        <v/>
      </c>
      <c r="BN42" s="194" t="str" cm="1">
        <f t="array" ref="BN42">IFERROR(INDEX(B31:BC180,BL42,BO2),"")</f>
        <v/>
      </c>
      <c r="BO42" s="194" t="str" cm="1">
        <f t="array" ref="BO42">IF(IFERROR(INDEX($B$31:$BC$180,BL42,$BM$2),"")=0,"",IFERROR(INDEX($B$31:$BC$180,BL42,$BM$2),""))</f>
        <v/>
      </c>
      <c r="BP42" s="194">
        <f>IFERROR(IF(BL41+1&gt;BQ2,BP41+1,0),"")</f>
        <v>0</v>
      </c>
      <c r="BR42" s="223" t="str">
        <f t="shared" si="6"/>
        <v/>
      </c>
      <c r="BS42" s="224" t="str" cm="1">
        <f t="array" ref="BS42">INDEX(BR:BR,SMALL(IF($BR$2:$BR$101&lt;&gt;"",ROW($BR$2:$BR$101),142),ROW(BR41)))&amp;""</f>
        <v/>
      </c>
      <c r="BT42" s="225" t="str">
        <f t="shared" si="4"/>
        <v/>
      </c>
      <c r="BU42" s="194" t="str">
        <f>IF(主要!AX51="","",主要!AX51)</f>
        <v/>
      </c>
      <c r="BV42" s="194" t="str">
        <f t="shared" si="5"/>
        <v/>
      </c>
    </row>
    <row r="43" spans="1:74" ht="16.2" customHeight="1" thickBot="1" x14ac:dyDescent="0.3">
      <c r="A43" s="178">
        <v>13</v>
      </c>
      <c r="B43" s="187">
        <v>3</v>
      </c>
      <c r="C43" s="178" t="s">
        <v>969</v>
      </c>
      <c r="D43" s="189" t="s">
        <v>970</v>
      </c>
      <c r="F43" s="178" t="s">
        <v>943</v>
      </c>
      <c r="G43" s="189" t="s">
        <v>971</v>
      </c>
      <c r="I43" s="178" t="s">
        <v>961</v>
      </c>
      <c r="J43" s="189" t="s">
        <v>972</v>
      </c>
      <c r="L43" s="178" t="s">
        <v>961</v>
      </c>
      <c r="M43" s="189" t="s">
        <v>973</v>
      </c>
      <c r="N43" s="178">
        <v>4</v>
      </c>
      <c r="O43" s="178" t="s">
        <v>609</v>
      </c>
      <c r="P43" s="189" t="s">
        <v>974</v>
      </c>
      <c r="Q43" s="178">
        <v>3</v>
      </c>
      <c r="R43" s="178" t="s">
        <v>975</v>
      </c>
      <c r="S43" s="189" t="s">
        <v>976</v>
      </c>
      <c r="U43" s="178" t="s">
        <v>961</v>
      </c>
      <c r="V43" s="189" t="s">
        <v>977</v>
      </c>
      <c r="W43" s="178">
        <v>1</v>
      </c>
      <c r="X43" s="178" t="s">
        <v>978</v>
      </c>
      <c r="Y43" s="189" t="s">
        <v>979</v>
      </c>
      <c r="Z43" s="178">
        <v>3</v>
      </c>
      <c r="AA43" s="178" t="s">
        <v>980</v>
      </c>
      <c r="AB43" s="189" t="s">
        <v>981</v>
      </c>
      <c r="AD43" s="178" t="s">
        <v>961</v>
      </c>
      <c r="AE43" s="189" t="s">
        <v>982</v>
      </c>
      <c r="AG43" s="192" t="s">
        <v>983</v>
      </c>
      <c r="AH43" s="193" t="s">
        <v>984</v>
      </c>
      <c r="AJ43" s="178" t="s">
        <v>943</v>
      </c>
      <c r="AK43" s="189" t="s">
        <v>985</v>
      </c>
      <c r="AM43" s="178" t="s">
        <v>4524</v>
      </c>
      <c r="AN43" s="189" t="s">
        <v>4542</v>
      </c>
      <c r="BC43" s="209"/>
      <c r="BH43" s="178" t="s">
        <v>4427</v>
      </c>
      <c r="BI43" s="178">
        <v>46</v>
      </c>
      <c r="BJ43" s="178" cm="1">
        <f t="array" ref="BJ43">_xlfn.IFS($AI$4&gt;=17,50,$AI$4&gt;=6,49,$AI$4&gt;=3,48,1,0)</f>
        <v>0</v>
      </c>
      <c r="BL43" s="194">
        <f>IFERROR(IF(BL42+1&gt;BQ2,IF(BL42+1&gt;BQ2,IF(BP3+BP42&gt;BQ3,"",BP3+BP42)),BL42+1),"")</f>
        <v>38</v>
      </c>
      <c r="BM43" s="194" t="str" cm="1">
        <f t="array" ref="BM43">IFERROR(INDEX(B31:BC180,BL43,BN2),"")</f>
        <v/>
      </c>
      <c r="BN43" s="194" t="str" cm="1">
        <f t="array" ref="BN43">IFERROR(INDEX(B31:BC180,BL43,BO2),"")</f>
        <v/>
      </c>
      <c r="BO43" s="194" t="str" cm="1">
        <f t="array" ref="BO43">IF(IFERROR(INDEX($B$31:$BC$180,BL43,$BM$2),"")=0,"",IFERROR(INDEX($B$31:$BC$180,BL43,$BM$2),""))</f>
        <v/>
      </c>
      <c r="BP43" s="194">
        <f>IFERROR(IF(BL42+1&gt;BQ2,BP42+1,0),"")</f>
        <v>0</v>
      </c>
      <c r="BR43" s="223" t="str">
        <f t="shared" si="6"/>
        <v/>
      </c>
      <c r="BS43" s="224" t="str" cm="1">
        <f t="array" ref="BS43">INDEX(BR:BR,SMALL(IF($BR$2:$BR$101&lt;&gt;"",ROW($BR$2:$BR$101),142),ROW(BR42)))&amp;""</f>
        <v/>
      </c>
      <c r="BT43" s="225" t="str">
        <f t="shared" si="4"/>
        <v/>
      </c>
      <c r="BU43" s="194" t="str">
        <f>IF(主要!AX52="","",主要!AX52)</f>
        <v/>
      </c>
      <c r="BV43" s="194" t="str">
        <f t="shared" si="5"/>
        <v/>
      </c>
    </row>
    <row r="44" spans="1:74" ht="16.2" customHeight="1" thickTop="1" x14ac:dyDescent="0.25">
      <c r="A44" s="178">
        <v>14</v>
      </c>
      <c r="B44" s="187">
        <v>4</v>
      </c>
      <c r="C44" s="178" t="s">
        <v>609</v>
      </c>
      <c r="D44" s="189" t="s">
        <v>986</v>
      </c>
      <c r="F44" s="178" t="s">
        <v>961</v>
      </c>
      <c r="G44" s="189" t="s">
        <v>987</v>
      </c>
      <c r="H44" s="178">
        <v>1</v>
      </c>
      <c r="I44" s="178" t="s">
        <v>988</v>
      </c>
      <c r="J44" s="189" t="s">
        <v>989</v>
      </c>
      <c r="K44" s="178">
        <v>1</v>
      </c>
      <c r="L44" s="178" t="s">
        <v>336</v>
      </c>
      <c r="M44" s="189" t="s">
        <v>990</v>
      </c>
      <c r="N44" s="178">
        <v>5</v>
      </c>
      <c r="O44" s="178" t="s">
        <v>991</v>
      </c>
      <c r="P44" s="189" t="s">
        <v>992</v>
      </c>
      <c r="Q44" s="178">
        <v>4</v>
      </c>
      <c r="R44" s="178" t="s">
        <v>609</v>
      </c>
      <c r="S44" s="189" t="s">
        <v>993</v>
      </c>
      <c r="T44" s="178">
        <v>1</v>
      </c>
      <c r="U44" s="178" t="s">
        <v>900</v>
      </c>
      <c r="V44" s="189" t="s">
        <v>994</v>
      </c>
      <c r="W44" s="178">
        <v>1</v>
      </c>
      <c r="X44" s="178" t="s">
        <v>900</v>
      </c>
      <c r="Y44" s="189" t="s">
        <v>995</v>
      </c>
      <c r="Z44" s="178">
        <v>4</v>
      </c>
      <c r="AA44" s="178" t="s">
        <v>609</v>
      </c>
      <c r="AB44" s="189" t="s">
        <v>996</v>
      </c>
      <c r="AC44" s="178">
        <v>1</v>
      </c>
      <c r="AD44" s="178" t="s">
        <v>997</v>
      </c>
      <c r="AE44" s="189" t="s">
        <v>998</v>
      </c>
      <c r="AG44" s="192" t="s">
        <v>999</v>
      </c>
      <c r="AH44" s="193" t="s">
        <v>1000</v>
      </c>
      <c r="AJ44" s="178" t="s">
        <v>961</v>
      </c>
      <c r="AK44" s="189" t="s">
        <v>1001</v>
      </c>
      <c r="AM44" s="178" t="s">
        <v>4525</v>
      </c>
      <c r="AN44" s="189" t="s">
        <v>4543</v>
      </c>
      <c r="BC44" s="209"/>
      <c r="BH44" s="222" t="s">
        <v>764</v>
      </c>
      <c r="BI44" s="222">
        <v>29</v>
      </c>
      <c r="BJ44" s="222" cm="1">
        <f t="array" ref="BJ44">_xlfn.IFS($AI$5&gt;=14,34,$AI$5&gt;=10,33,$AI$5&gt;=6,32,$AI$5&gt;=3,31,1,0)</f>
        <v>0</v>
      </c>
      <c r="BL44" s="194">
        <f>IFERROR(IF(BL43+1&gt;BQ2,IF(BL43+1&gt;BQ2,IF(BP3+BP43&gt;BQ3,"",BP3+BP43)),BL43+1),"")</f>
        <v>39</v>
      </c>
      <c r="BM44" s="194" t="str" cm="1">
        <f t="array" ref="BM44">IFERROR(INDEX(B31:BC180,BL44,BN2),"")</f>
        <v/>
      </c>
      <c r="BN44" s="194" t="str" cm="1">
        <f t="array" ref="BN44">IFERROR(INDEX(B31:BC180,BL44,BO2),"")</f>
        <v/>
      </c>
      <c r="BO44" s="194" t="str" cm="1">
        <f t="array" ref="BO44">IF(IFERROR(INDEX($B$31:$BC$180,BL44,$BM$2),"")=0,"",IFERROR(INDEX($B$31:$BC$180,BL44,$BM$2),""))</f>
        <v/>
      </c>
      <c r="BP44" s="194">
        <f>IFERROR(IF(BL43+1&gt;BQ2,BP43+1,0),"")</f>
        <v>0</v>
      </c>
      <c r="BR44" s="223" t="str">
        <f t="shared" si="6"/>
        <v/>
      </c>
      <c r="BS44" s="224" t="str" cm="1">
        <f t="array" ref="BS44">INDEX(BR:BR,SMALL(IF($BR$2:$BR$101&lt;&gt;"",ROW($BR$2:$BR$101),142),ROW(BR43)))&amp;""</f>
        <v/>
      </c>
      <c r="BT44" s="225" t="str">
        <f t="shared" ref="BT44:BT58" si="7">IFERROR(VLOOKUP(BU44,$BM$5:$BO$105,3,FALSE),"")</f>
        <v/>
      </c>
      <c r="BU44" s="194" t="str">
        <f>IF(主要!AX53="","",主要!AX53)</f>
        <v/>
      </c>
      <c r="BV44" s="194" t="str">
        <f t="shared" ref="BV44:BV58" si="8">IFERROR(VLOOKUP(BU44,$BM$6:$BN$105,2,FALSE),"")</f>
        <v/>
      </c>
    </row>
    <row r="45" spans="1:74" ht="16.2" customHeight="1" x14ac:dyDescent="0.25">
      <c r="A45" s="178">
        <v>15</v>
      </c>
      <c r="B45" s="187">
        <v>5</v>
      </c>
      <c r="C45" s="178" t="s">
        <v>991</v>
      </c>
      <c r="D45" s="189" t="s">
        <v>1002</v>
      </c>
      <c r="E45" s="178">
        <v>2</v>
      </c>
      <c r="F45" s="178" t="s">
        <v>878</v>
      </c>
      <c r="G45" s="189" t="s">
        <v>1003</v>
      </c>
      <c r="H45" s="178">
        <v>2</v>
      </c>
      <c r="I45" s="178" t="s">
        <v>1004</v>
      </c>
      <c r="J45" s="189" t="s">
        <v>1005</v>
      </c>
      <c r="K45" s="178">
        <v>1</v>
      </c>
      <c r="L45" s="178" t="s">
        <v>1006</v>
      </c>
      <c r="M45" s="189" t="s">
        <v>1007</v>
      </c>
      <c r="N45" s="178">
        <v>5</v>
      </c>
      <c r="O45" s="178" t="s">
        <v>1008</v>
      </c>
      <c r="P45" s="189" t="s">
        <v>1009</v>
      </c>
      <c r="Q45" s="178">
        <v>4</v>
      </c>
      <c r="R45" s="178" t="s">
        <v>1010</v>
      </c>
      <c r="S45" s="189" t="s">
        <v>1011</v>
      </c>
      <c r="T45" s="178">
        <v>2</v>
      </c>
      <c r="U45" s="178" t="s">
        <v>871</v>
      </c>
      <c r="V45" s="189" t="s">
        <v>1012</v>
      </c>
      <c r="W45" s="178">
        <v>2</v>
      </c>
      <c r="X45" s="178" t="s">
        <v>1013</v>
      </c>
      <c r="Y45" s="189" t="s">
        <v>1014</v>
      </c>
      <c r="Z45" s="178">
        <v>5</v>
      </c>
      <c r="AA45" s="178" t="s">
        <v>1015</v>
      </c>
      <c r="AB45" s="189" t="s">
        <v>1016</v>
      </c>
      <c r="AC45" s="178">
        <v>2</v>
      </c>
      <c r="AD45" s="178" t="s">
        <v>1017</v>
      </c>
      <c r="AE45" s="189" t="s">
        <v>1018</v>
      </c>
      <c r="AG45" s="192" t="s">
        <v>1019</v>
      </c>
      <c r="AH45" s="193" t="s">
        <v>1020</v>
      </c>
      <c r="AJ45" s="178" t="s">
        <v>1021</v>
      </c>
      <c r="AK45" s="189" t="s">
        <v>1022</v>
      </c>
      <c r="AM45" s="178" t="s">
        <v>943</v>
      </c>
      <c r="AN45" s="189" t="s">
        <v>4544</v>
      </c>
      <c r="BC45" s="209"/>
      <c r="BH45" s="178" t="s">
        <v>765</v>
      </c>
      <c r="BI45" s="178">
        <v>34</v>
      </c>
      <c r="BJ45" s="178" cm="1">
        <f t="array" ref="BJ45">_xlfn.IFS($AI$5&gt;=14,39,$AI$5&gt;=10,38,$AI$5&gt;=6,37,$AI$5&gt;=3,36,1,0)</f>
        <v>0</v>
      </c>
      <c r="BL45" s="194">
        <f>IFERROR(IF(BL44+1&gt;BQ2,IF(BL44+1&gt;BQ2,IF(BP3+BP44&gt;BQ3,"",BP3+BP44)),BL44+1),"")</f>
        <v>40</v>
      </c>
      <c r="BM45" s="194" t="str" cm="1">
        <f t="array" ref="BM45">IFERROR(INDEX(B31:BC180,BL45,BN2),"")</f>
        <v/>
      </c>
      <c r="BN45" s="194" t="str" cm="1">
        <f t="array" ref="BN45">IFERROR(INDEX(B31:BC180,BL45,BO2),"")</f>
        <v/>
      </c>
      <c r="BO45" s="194" t="str" cm="1">
        <f t="array" ref="BO45">IF(IFERROR(INDEX($B$31:$BC$180,BL45,$BM$2),"")=0,"",IFERROR(INDEX($B$31:$BC$180,BL45,$BM$2),""))</f>
        <v/>
      </c>
      <c r="BP45" s="194">
        <f>IFERROR(IF(BL44+1&gt;BQ2,BP44+1,0),"")</f>
        <v>0</v>
      </c>
      <c r="BR45" s="223" t="str">
        <f t="shared" si="6"/>
        <v/>
      </c>
      <c r="BS45" s="224" t="str" cm="1">
        <f t="array" ref="BS45">INDEX(BR:BR,SMALL(IF($BR$2:$BR$101&lt;&gt;"",ROW($BR$2:$BR$101),142),ROW(BR44)))&amp;""</f>
        <v/>
      </c>
      <c r="BT45" s="225" t="str">
        <f t="shared" si="7"/>
        <v/>
      </c>
      <c r="BU45" s="194" t="str">
        <f>IF(主要!AX54="","",主要!AX54)</f>
        <v/>
      </c>
      <c r="BV45" s="194" t="str">
        <f t="shared" si="8"/>
        <v/>
      </c>
    </row>
    <row r="46" spans="1:74" ht="16.2" customHeight="1" x14ac:dyDescent="0.25">
      <c r="A46" s="178">
        <v>16</v>
      </c>
      <c r="B46" s="187">
        <v>5</v>
      </c>
      <c r="C46" s="178" t="s">
        <v>1023</v>
      </c>
      <c r="D46" s="189" t="s">
        <v>1024</v>
      </c>
      <c r="E46" s="178">
        <v>2</v>
      </c>
      <c r="F46" s="178" t="s">
        <v>109</v>
      </c>
      <c r="G46" s="189" t="s">
        <v>1025</v>
      </c>
      <c r="I46" s="178" t="s">
        <v>1026</v>
      </c>
      <c r="J46" s="189" t="s">
        <v>1027</v>
      </c>
      <c r="K46" s="178">
        <v>2</v>
      </c>
      <c r="L46" s="178" t="s">
        <v>1028</v>
      </c>
      <c r="M46" s="189" t="s">
        <v>1029</v>
      </c>
      <c r="N46" s="178">
        <v>9</v>
      </c>
      <c r="O46" s="178" t="s">
        <v>1030</v>
      </c>
      <c r="P46" s="189" t="s">
        <v>1031</v>
      </c>
      <c r="Q46" s="178">
        <v>5</v>
      </c>
      <c r="R46" s="178" t="s">
        <v>991</v>
      </c>
      <c r="S46" s="189" t="s">
        <v>1002</v>
      </c>
      <c r="T46" s="178">
        <v>2</v>
      </c>
      <c r="U46" s="178" t="s">
        <v>1032</v>
      </c>
      <c r="V46" s="189" t="s">
        <v>1033</v>
      </c>
      <c r="W46" s="178">
        <v>2</v>
      </c>
      <c r="X46" s="178" t="s">
        <v>871</v>
      </c>
      <c r="Y46" s="189" t="s">
        <v>1012</v>
      </c>
      <c r="Z46" s="178">
        <v>5</v>
      </c>
      <c r="AA46" s="178" t="s">
        <v>1034</v>
      </c>
      <c r="AB46" s="189" t="s">
        <v>1035</v>
      </c>
      <c r="AC46" s="178">
        <v>2</v>
      </c>
      <c r="AD46" s="178" t="s">
        <v>1036</v>
      </c>
      <c r="AE46" s="189" t="s">
        <v>1037</v>
      </c>
      <c r="AG46" s="192" t="s">
        <v>1038</v>
      </c>
      <c r="AH46" s="193" t="s">
        <v>1039</v>
      </c>
      <c r="AJ46" s="178" t="s">
        <v>1040</v>
      </c>
      <c r="AK46" s="189" t="s">
        <v>1041</v>
      </c>
      <c r="AM46" s="178" t="s">
        <v>4526</v>
      </c>
      <c r="AN46" s="189" t="s">
        <v>4545</v>
      </c>
      <c r="BC46" s="209"/>
      <c r="BH46" s="178" t="s">
        <v>766</v>
      </c>
      <c r="BI46" s="178">
        <v>39</v>
      </c>
      <c r="BJ46" s="178" cm="1">
        <f t="array" ref="BJ46">_xlfn.IFS($AI$5&gt;=14,44,$AI$5&gt;=10,43,$AI$5&gt;=6,42,$AI$5&gt;=3,41,1,0)</f>
        <v>0</v>
      </c>
      <c r="BL46" s="194">
        <f>IFERROR(IF(BL45+1&gt;BQ2,IF(BL45+1&gt;BQ2,IF(BP3+BP45&gt;BQ3,"",BP3+BP45)),BL45+1),"")</f>
        <v>41</v>
      </c>
      <c r="BM46" s="194" t="str" cm="1">
        <f t="array" ref="BM46">IFERROR(INDEX(B31:BC180,BL46,BN2),"")</f>
        <v/>
      </c>
      <c r="BN46" s="194" t="str" cm="1">
        <f t="array" ref="BN46">IFERROR(INDEX(B31:BC180,BL46,BO2),"")</f>
        <v/>
      </c>
      <c r="BO46" s="194" t="str" cm="1">
        <f t="array" ref="BO46">IF(IFERROR(INDEX($B$31:$BC$180,BL46,$BM$2),"")=0,"",IFERROR(INDEX($B$31:$BC$180,BL46,$BM$2),""))</f>
        <v/>
      </c>
      <c r="BP46" s="194">
        <f>IFERROR(IF(BL45+1&gt;BQ2,BP45+1,0),"")</f>
        <v>0</v>
      </c>
      <c r="BR46" s="223" t="str">
        <f t="shared" si="6"/>
        <v/>
      </c>
      <c r="BS46" s="224" t="str" cm="1">
        <f t="array" ref="BS46">INDEX(BR:BR,SMALL(IF($BR$2:$BR$101&lt;&gt;"",ROW($BR$2:$BR$101),142),ROW(BR45)))&amp;""</f>
        <v/>
      </c>
      <c r="BT46" s="225" t="str">
        <f t="shared" si="7"/>
        <v/>
      </c>
      <c r="BU46" s="194" t="str">
        <f>IF(主要!AX55="","",主要!AX55)</f>
        <v/>
      </c>
      <c r="BV46" s="194" t="str">
        <f t="shared" si="8"/>
        <v/>
      </c>
    </row>
    <row r="47" spans="1:74" ht="16.2" customHeight="1" thickBot="1" x14ac:dyDescent="0.3">
      <c r="A47" s="178">
        <v>17</v>
      </c>
      <c r="B47" s="187">
        <v>7</v>
      </c>
      <c r="C47" s="178" t="s">
        <v>1042</v>
      </c>
      <c r="D47" s="189" t="s">
        <v>1043</v>
      </c>
      <c r="E47" s="178">
        <v>3</v>
      </c>
      <c r="F47" s="178" t="s">
        <v>1044</v>
      </c>
      <c r="G47" s="189" t="s">
        <v>1045</v>
      </c>
      <c r="I47" s="178" t="s">
        <v>1046</v>
      </c>
      <c r="J47" s="189" t="s">
        <v>1047</v>
      </c>
      <c r="L47" s="178" t="s">
        <v>1048</v>
      </c>
      <c r="M47" s="189" t="s">
        <v>1049</v>
      </c>
      <c r="N47" s="178">
        <v>9</v>
      </c>
      <c r="O47" s="178" t="s">
        <v>1050</v>
      </c>
      <c r="P47" s="189" t="s">
        <v>1051</v>
      </c>
      <c r="Q47" s="178">
        <v>5</v>
      </c>
      <c r="R47" s="178" t="s">
        <v>1052</v>
      </c>
      <c r="S47" s="189" t="s">
        <v>1053</v>
      </c>
      <c r="T47" s="178">
        <v>3</v>
      </c>
      <c r="U47" s="178" t="s">
        <v>1004</v>
      </c>
      <c r="V47" s="189" t="s">
        <v>1054</v>
      </c>
      <c r="W47" s="178">
        <v>3</v>
      </c>
      <c r="X47" s="178" t="s">
        <v>1055</v>
      </c>
      <c r="Y47" s="189" t="s">
        <v>1056</v>
      </c>
      <c r="Z47" s="178">
        <v>7</v>
      </c>
      <c r="AA47" s="178" t="s">
        <v>1057</v>
      </c>
      <c r="AB47" s="189" t="s">
        <v>1058</v>
      </c>
      <c r="AD47" s="192" t="s">
        <v>1059</v>
      </c>
      <c r="AE47" s="193" t="s">
        <v>1060</v>
      </c>
      <c r="AG47" s="192" t="s">
        <v>1061</v>
      </c>
      <c r="AH47" s="193" t="s">
        <v>1062</v>
      </c>
      <c r="AJ47" s="178" t="s">
        <v>1063</v>
      </c>
      <c r="AK47" s="189" t="s">
        <v>1064</v>
      </c>
      <c r="AL47" s="178">
        <v>2</v>
      </c>
      <c r="AM47" s="178" t="s">
        <v>4527</v>
      </c>
      <c r="AN47" s="189" t="s">
        <v>4546</v>
      </c>
      <c r="BC47" s="209"/>
      <c r="BH47" s="178" t="s">
        <v>767</v>
      </c>
      <c r="BI47" s="178">
        <v>44</v>
      </c>
      <c r="BJ47" s="178" cm="1">
        <f t="array" ref="BJ47">_xlfn.IFS($AI$5&gt;=14,49,$AI$5&gt;=10,48,$AI$5&gt;=6,47,$AI$5&gt;=3,46,1,0)</f>
        <v>0</v>
      </c>
      <c r="BL47" s="194">
        <f>IFERROR(IF(BL46+1&gt;BQ2,IF(BL46+1&gt;BQ2,IF(BP3+BP46&gt;BQ3,"",BP3+BP46)),BL46+1),"")</f>
        <v>42</v>
      </c>
      <c r="BM47" s="194" t="str" cm="1">
        <f t="array" ref="BM47">IFERROR(INDEX(B31:BC180,BL47,BN2),"")</f>
        <v/>
      </c>
      <c r="BN47" s="194" t="str" cm="1">
        <f t="array" ref="BN47">IFERROR(INDEX(B31:BC180,BL47,BO2),"")</f>
        <v/>
      </c>
      <c r="BO47" s="194" t="str" cm="1">
        <f t="array" ref="BO47">IF(IFERROR(INDEX($B$31:$BC$180,BL47,$BM$2),"")=0,"",IFERROR(INDEX($B$31:$BC$180,BL47,$BM$2),""))</f>
        <v/>
      </c>
      <c r="BP47" s="194">
        <f>IFERROR(IF(BL46+1&gt;BQ2,BP46+1,0),"")</f>
        <v>0</v>
      </c>
      <c r="BR47" s="223" t="str">
        <f t="shared" si="6"/>
        <v/>
      </c>
      <c r="BS47" s="224" t="str" cm="1">
        <f t="array" ref="BS47">INDEX(BR:BR,SMALL(IF($BR$2:$BR$101&lt;&gt;"",ROW($BR$2:$BR$101),142),ROW(BR46)))&amp;""</f>
        <v/>
      </c>
      <c r="BT47" s="225" t="str">
        <f t="shared" si="7"/>
        <v/>
      </c>
      <c r="BU47" s="194" t="str">
        <f>IF(主要!AX56="","",主要!AX56)</f>
        <v/>
      </c>
      <c r="BV47" s="194" t="str">
        <f t="shared" si="8"/>
        <v/>
      </c>
    </row>
    <row r="48" spans="1:74" ht="16.2" customHeight="1" thickTop="1" x14ac:dyDescent="0.25">
      <c r="A48" s="178">
        <v>18</v>
      </c>
      <c r="B48" s="187">
        <v>7</v>
      </c>
      <c r="C48" s="178" t="s">
        <v>1065</v>
      </c>
      <c r="D48" s="189" t="s">
        <v>1066</v>
      </c>
      <c r="E48" s="178">
        <v>4</v>
      </c>
      <c r="F48" s="178" t="s">
        <v>609</v>
      </c>
      <c r="G48" s="189" t="s">
        <v>1067</v>
      </c>
      <c r="H48" s="178">
        <v>3</v>
      </c>
      <c r="I48" s="178" t="s">
        <v>1068</v>
      </c>
      <c r="J48" s="189" t="s">
        <v>1069</v>
      </c>
      <c r="L48" s="178" t="s">
        <v>1070</v>
      </c>
      <c r="M48" s="189" t="s">
        <v>1071</v>
      </c>
      <c r="N48" s="178">
        <v>11</v>
      </c>
      <c r="O48" s="178" t="s">
        <v>1072</v>
      </c>
      <c r="P48" s="189" t="s">
        <v>1073</v>
      </c>
      <c r="Q48" s="178">
        <v>6</v>
      </c>
      <c r="R48" s="178" t="s">
        <v>1074</v>
      </c>
      <c r="S48" s="189" t="s">
        <v>1075</v>
      </c>
      <c r="U48" s="178" t="s">
        <v>1076</v>
      </c>
      <c r="V48" s="189" t="s">
        <v>1077</v>
      </c>
      <c r="W48" s="178">
        <v>4</v>
      </c>
      <c r="X48" s="178" t="s">
        <v>609</v>
      </c>
      <c r="Y48" s="189" t="s">
        <v>1078</v>
      </c>
      <c r="Z48" s="178">
        <v>7</v>
      </c>
      <c r="AA48" s="178" t="s">
        <v>1079</v>
      </c>
      <c r="AB48" s="189" t="s">
        <v>1080</v>
      </c>
      <c r="AD48" s="192" t="s">
        <v>1081</v>
      </c>
      <c r="AE48" s="193" t="s">
        <v>1082</v>
      </c>
      <c r="AG48" s="192" t="s">
        <v>1083</v>
      </c>
      <c r="AH48" s="193" t="s">
        <v>1084</v>
      </c>
      <c r="AI48" s="178">
        <v>1</v>
      </c>
      <c r="AJ48" s="178" t="s">
        <v>1085</v>
      </c>
      <c r="AK48" s="189" t="s">
        <v>1086</v>
      </c>
      <c r="AL48" s="178">
        <v>3</v>
      </c>
      <c r="AM48" s="178" t="s">
        <v>4528</v>
      </c>
      <c r="AN48" s="189" t="s">
        <v>4547</v>
      </c>
      <c r="BC48" s="209"/>
      <c r="BH48" s="222" t="s">
        <v>771</v>
      </c>
      <c r="BI48" s="222">
        <v>22</v>
      </c>
      <c r="BJ48" s="222" cm="1">
        <f t="array" ref="BJ48">_xlfn.IFS($AI$6&gt;=18,47,$AI$6&gt;=15,46,$AI$6&gt;=10,45,$AI$6&gt;=7,44,$AI$6&gt;=3,43,1,0)</f>
        <v>0</v>
      </c>
      <c r="BL48" s="194">
        <f>IFERROR(IF(BL47+1&gt;BQ2,IF(BL47+1&gt;BQ2,IF(BP3+BP47&gt;BQ3,"",BP3+BP47)),BL47+1),"")</f>
        <v>43</v>
      </c>
      <c r="BM48" s="194" t="str" cm="1">
        <f t="array" ref="BM48">IFERROR(INDEX(B31:BC180,BL48,BN2),"")</f>
        <v/>
      </c>
      <c r="BN48" s="194" t="str" cm="1">
        <f t="array" ref="BN48">IFERROR(INDEX(B31:BC180,BL48,BO2),"")</f>
        <v/>
      </c>
      <c r="BO48" s="194" t="str" cm="1">
        <f t="array" ref="BO48">IF(IFERROR(INDEX($B$31:$BC$180,BL48,$BM$2),"")=0,"",IFERROR(INDEX($B$31:$BC$180,BL48,$BM$2),""))</f>
        <v/>
      </c>
      <c r="BP48" s="194">
        <f>IFERROR(IF(BL47+1&gt;BQ2,BP47+1,0),"")</f>
        <v>0</v>
      </c>
      <c r="BR48" s="223" t="str">
        <f t="shared" si="6"/>
        <v/>
      </c>
      <c r="BS48" s="224" t="str" cm="1">
        <f t="array" ref="BS48">INDEX(BR:BR,SMALL(IF($BR$2:$BR$101&lt;&gt;"",ROW($BR$2:$BR$101),142),ROW(BR47)))&amp;""</f>
        <v/>
      </c>
      <c r="BT48" s="225" t="str">
        <f t="shared" si="7"/>
        <v/>
      </c>
      <c r="BU48" s="194" t="str">
        <f>IF(主要!AX57="","",主要!AX57)</f>
        <v/>
      </c>
      <c r="BV48" s="194" t="str">
        <f t="shared" si="8"/>
        <v/>
      </c>
    </row>
    <row r="49" spans="1:74" ht="16.2" customHeight="1" x14ac:dyDescent="0.25">
      <c r="A49" s="178">
        <v>19</v>
      </c>
      <c r="B49" s="187">
        <v>9</v>
      </c>
      <c r="C49" s="178" t="s">
        <v>1087</v>
      </c>
      <c r="D49" s="189" t="s">
        <v>1088</v>
      </c>
      <c r="E49" s="178">
        <v>5</v>
      </c>
      <c r="F49" s="178" t="s">
        <v>1089</v>
      </c>
      <c r="G49" s="189" t="s">
        <v>1090</v>
      </c>
      <c r="H49" s="178">
        <v>4</v>
      </c>
      <c r="I49" s="178" t="s">
        <v>609</v>
      </c>
      <c r="J49" s="189" t="s">
        <v>1091</v>
      </c>
      <c r="L49" s="178" t="s">
        <v>1092</v>
      </c>
      <c r="M49" s="189" t="s">
        <v>1093</v>
      </c>
      <c r="N49" s="178">
        <v>13</v>
      </c>
      <c r="O49" s="178" t="s">
        <v>1094</v>
      </c>
      <c r="P49" s="189" t="s">
        <v>1095</v>
      </c>
      <c r="Q49" s="178">
        <v>7</v>
      </c>
      <c r="R49" s="178" t="s">
        <v>1057</v>
      </c>
      <c r="S49" s="189" t="s">
        <v>1096</v>
      </c>
      <c r="T49" s="178">
        <v>3</v>
      </c>
      <c r="U49" s="178" t="s">
        <v>1097</v>
      </c>
      <c r="V49" s="189" t="s">
        <v>1098</v>
      </c>
      <c r="W49" s="178">
        <v>5</v>
      </c>
      <c r="X49" s="178" t="s">
        <v>991</v>
      </c>
      <c r="Y49" s="189" t="s">
        <v>992</v>
      </c>
      <c r="Z49" s="178">
        <v>11</v>
      </c>
      <c r="AA49" s="178" t="s">
        <v>1099</v>
      </c>
      <c r="AB49" s="189" t="s">
        <v>1100</v>
      </c>
      <c r="AD49" s="192" t="s">
        <v>1101</v>
      </c>
      <c r="AE49" s="193" t="s">
        <v>1102</v>
      </c>
      <c r="AG49" s="192" t="s">
        <v>1103</v>
      </c>
      <c r="AH49" s="193" t="s">
        <v>1104</v>
      </c>
      <c r="AI49" s="178">
        <v>1</v>
      </c>
      <c r="AJ49" s="178" t="s">
        <v>1105</v>
      </c>
      <c r="AK49" s="189" t="s">
        <v>1106</v>
      </c>
      <c r="AL49" s="178">
        <v>4</v>
      </c>
      <c r="AM49" s="178" t="s">
        <v>609</v>
      </c>
      <c r="AN49" s="189" t="s">
        <v>4548</v>
      </c>
      <c r="BC49" s="209"/>
      <c r="BH49" s="178" t="s">
        <v>772</v>
      </c>
      <c r="BI49" s="178">
        <v>48</v>
      </c>
      <c r="BJ49" s="178" cm="1">
        <f t="array" ref="BJ49">_xlfn.IFS($AI$6&gt;=18,53,$AI$6&gt;=15,52,$AI$6&gt;=10,51,$AI$6&gt;=7,50,$AI$6&gt;=3,49,1,0)</f>
        <v>0</v>
      </c>
      <c r="BL49" s="194">
        <f>IFERROR(IF(BL48+1&gt;BQ2,IF(BL48+1&gt;BQ2,IF(BP3+BP48&gt;BQ3,"",BP3+BP48)),BL48+1),"")</f>
        <v>44</v>
      </c>
      <c r="BM49" s="194" t="str" cm="1">
        <f t="array" ref="BM49">IFERROR(INDEX(B31:BC180,BL49,BN2),"")</f>
        <v/>
      </c>
      <c r="BN49" s="194" t="str" cm="1">
        <f t="array" ref="BN49">IFERROR(INDEX(B31:BC180,BL49,BO2),"")</f>
        <v/>
      </c>
      <c r="BO49" s="194" t="str" cm="1">
        <f t="array" ref="BO49">IF(IFERROR(INDEX($B$31:$BC$180,BL49,$BM$2),"")=0,"",IFERROR(INDEX($B$31:$BC$180,BL49,$BM$2),""))</f>
        <v/>
      </c>
      <c r="BP49" s="194">
        <f>IFERROR(IF(BL48+1&gt;BQ2,BP48+1,0),"")</f>
        <v>0</v>
      </c>
      <c r="BR49" s="223" t="str">
        <f t="shared" si="6"/>
        <v/>
      </c>
      <c r="BS49" s="224" t="str" cm="1">
        <f t="array" ref="BS49">INDEX(BR:BR,SMALL(IF($BR$2:$BR$101&lt;&gt;"",ROW($BR$2:$BR$101),142),ROW(BR48)))&amp;""</f>
        <v/>
      </c>
      <c r="BT49" s="225" t="str">
        <f t="shared" si="7"/>
        <v/>
      </c>
      <c r="BU49" s="194" t="str">
        <f>IF(主要!AX58="","",主要!AX58)</f>
        <v/>
      </c>
      <c r="BV49" s="194" t="str">
        <f t="shared" si="8"/>
        <v/>
      </c>
    </row>
    <row r="50" spans="1:74" ht="16.2" customHeight="1" x14ac:dyDescent="0.25">
      <c r="A50" s="178">
        <v>20</v>
      </c>
      <c r="B50" s="187">
        <v>11</v>
      </c>
      <c r="C50" s="178" t="s">
        <v>1107</v>
      </c>
      <c r="D50" s="189" t="s">
        <v>1108</v>
      </c>
      <c r="E50" s="178">
        <v>7</v>
      </c>
      <c r="F50" s="178" t="s">
        <v>1109</v>
      </c>
      <c r="G50" s="189" t="s">
        <v>1110</v>
      </c>
      <c r="H50" s="178">
        <v>5</v>
      </c>
      <c r="I50" s="178" t="s">
        <v>1111</v>
      </c>
      <c r="J50" s="189" t="s">
        <v>1112</v>
      </c>
      <c r="L50" s="178" t="s">
        <v>1113</v>
      </c>
      <c r="M50" s="189" t="s">
        <v>1114</v>
      </c>
      <c r="N50" s="178">
        <v>19</v>
      </c>
      <c r="O50" s="178" t="s">
        <v>1115</v>
      </c>
      <c r="P50" s="189" t="s">
        <v>1116</v>
      </c>
      <c r="Q50" s="178">
        <v>9</v>
      </c>
      <c r="R50" s="178" t="s">
        <v>1117</v>
      </c>
      <c r="S50" s="189" t="s">
        <v>1118</v>
      </c>
      <c r="T50" s="178">
        <v>4</v>
      </c>
      <c r="U50" s="178" t="s">
        <v>609</v>
      </c>
      <c r="V50" s="189" t="s">
        <v>1119</v>
      </c>
      <c r="W50" s="178">
        <v>6</v>
      </c>
      <c r="X50" s="178" t="s">
        <v>1120</v>
      </c>
      <c r="Y50" s="189" t="s">
        <v>1121</v>
      </c>
      <c r="Z50" s="178">
        <v>14</v>
      </c>
      <c r="AA50" s="178" t="s">
        <v>1122</v>
      </c>
      <c r="AB50" s="189" t="s">
        <v>1123</v>
      </c>
      <c r="AD50" s="192" t="s">
        <v>1124</v>
      </c>
      <c r="AE50" s="193" t="s">
        <v>1125</v>
      </c>
      <c r="AG50" s="192" t="s">
        <v>1126</v>
      </c>
      <c r="AH50" s="193" t="s">
        <v>1127</v>
      </c>
      <c r="AI50" s="178">
        <v>2</v>
      </c>
      <c r="AJ50" s="178" t="s">
        <v>1128</v>
      </c>
      <c r="AK50" s="189" t="s">
        <v>1129</v>
      </c>
      <c r="AL50" s="178">
        <v>6</v>
      </c>
      <c r="AM50" s="178" t="s">
        <v>4529</v>
      </c>
      <c r="AN50" s="189" t="s">
        <v>4549</v>
      </c>
      <c r="BC50" s="209"/>
      <c r="BH50" s="178" t="s">
        <v>770</v>
      </c>
      <c r="BI50" s="178">
        <v>54</v>
      </c>
      <c r="BJ50" s="178" cm="1">
        <f t="array" ref="BJ50">_xlfn.IFS($AI$6&gt;=18,65,$AI$6&gt;=15,64,$AI$6&gt;=10,63,$AI$6&gt;=7,62,$AI$6&gt;=3,61,1,0)</f>
        <v>0</v>
      </c>
      <c r="BL50" s="194">
        <f>IFERROR(IF(BL49+1&gt;BQ2,IF(BL49+1&gt;BQ2,IF(BP3+BP49&gt;BQ3,"",BP3+BP49)),BL49+1),"")</f>
        <v>45</v>
      </c>
      <c r="BM50" s="194" t="str" cm="1">
        <f t="array" ref="BM50">IFERROR(INDEX(B31:BC180,BL50,BN2),"")</f>
        <v/>
      </c>
      <c r="BN50" s="194" t="str" cm="1">
        <f t="array" ref="BN50">IFERROR(INDEX(B31:BC180,BL50,BO2),"")</f>
        <v/>
      </c>
      <c r="BO50" s="194" t="str" cm="1">
        <f t="array" ref="BO50">IF(IFERROR(INDEX($B$31:$BC$180,BL50,$BM$2),"")=0,"",IFERROR(INDEX($B$31:$BC$180,BL50,$BM$2),""))</f>
        <v/>
      </c>
      <c r="BP50" s="194">
        <f>IFERROR(IF(BL49+1&gt;BQ2,BP49+1,0),"")</f>
        <v>0</v>
      </c>
      <c r="BR50" s="223" t="str">
        <f t="shared" si="6"/>
        <v/>
      </c>
      <c r="BS50" s="224" t="str" cm="1">
        <f t="array" ref="BS50">INDEX(BR:BR,SMALL(IF($BR$2:$BR$101&lt;&gt;"",ROW($BR$2:$BR$101),142),ROW(BR49)))&amp;""</f>
        <v/>
      </c>
      <c r="BT50" s="225" t="str">
        <f t="shared" si="7"/>
        <v/>
      </c>
      <c r="BU50" s="194" t="str">
        <f>IF(主要!AX59="","",主要!AX59)</f>
        <v/>
      </c>
      <c r="BV50" s="194" t="str">
        <f t="shared" si="8"/>
        <v/>
      </c>
    </row>
    <row r="51" spans="1:74" ht="16.2" customHeight="1" x14ac:dyDescent="0.25">
      <c r="A51" s="178">
        <v>21</v>
      </c>
      <c r="B51" s="187">
        <v>13</v>
      </c>
      <c r="C51" s="178" t="s">
        <v>1130</v>
      </c>
      <c r="D51" s="189" t="s">
        <v>1131</v>
      </c>
      <c r="E51" s="178">
        <v>10</v>
      </c>
      <c r="F51" s="178" t="s">
        <v>1132</v>
      </c>
      <c r="G51" s="189" t="s">
        <v>1133</v>
      </c>
      <c r="H51" s="178">
        <v>7</v>
      </c>
      <c r="I51" s="178" t="s">
        <v>1134</v>
      </c>
      <c r="J51" s="189" t="s">
        <v>1135</v>
      </c>
      <c r="K51" s="178">
        <v>2</v>
      </c>
      <c r="L51" s="178" t="s">
        <v>1136</v>
      </c>
      <c r="M51" s="189" t="s">
        <v>1137</v>
      </c>
      <c r="N51" s="178">
        <v>20</v>
      </c>
      <c r="O51" s="178" t="s">
        <v>1138</v>
      </c>
      <c r="P51" s="189" t="s">
        <v>1139</v>
      </c>
      <c r="Q51" s="178">
        <v>10</v>
      </c>
      <c r="R51" s="178" t="s">
        <v>1140</v>
      </c>
      <c r="S51" s="189" t="s">
        <v>1141</v>
      </c>
      <c r="T51" s="178">
        <v>5</v>
      </c>
      <c r="U51" s="178" t="s">
        <v>991</v>
      </c>
      <c r="V51" s="189" t="s">
        <v>1142</v>
      </c>
      <c r="W51" s="178">
        <v>9</v>
      </c>
      <c r="X51" s="178" t="s">
        <v>878</v>
      </c>
      <c r="Y51" s="189" t="s">
        <v>1143</v>
      </c>
      <c r="Z51" s="178">
        <v>15</v>
      </c>
      <c r="AA51" s="178" t="s">
        <v>1144</v>
      </c>
      <c r="AB51" s="189" t="s">
        <v>1145</v>
      </c>
      <c r="AD51" s="192" t="s">
        <v>1146</v>
      </c>
      <c r="AE51" s="193" t="s">
        <v>1147</v>
      </c>
      <c r="AG51" s="192" t="s">
        <v>1148</v>
      </c>
      <c r="AH51" s="193" t="s">
        <v>1149</v>
      </c>
      <c r="AI51" s="178">
        <v>3</v>
      </c>
      <c r="AJ51" s="178" t="s">
        <v>1150</v>
      </c>
      <c r="AK51" s="189" t="s">
        <v>1151</v>
      </c>
      <c r="AL51" s="178">
        <v>6</v>
      </c>
      <c r="AM51" s="178" t="s">
        <v>4530</v>
      </c>
      <c r="AN51" s="189" t="s">
        <v>4550</v>
      </c>
      <c r="BC51" s="209"/>
      <c r="BH51" s="178" t="s">
        <v>773</v>
      </c>
      <c r="BI51" s="178">
        <v>66</v>
      </c>
      <c r="BJ51" s="178" cm="1">
        <f t="array" ref="BJ51">_xlfn.IFS($AI$6&gt;=18,70,$AI$6&gt;=15,69,$AI$6&gt;=10,68,$AI$6&gt;=7,67,$AI$6&gt;=3,66,1,0)</f>
        <v>0</v>
      </c>
      <c r="BL51" s="194">
        <f>IFERROR(IF(BL50+1&gt;BQ2,IF(BL50+1&gt;BQ2,IF(BP3+BP50&gt;BQ3,"",BP3+BP50)),BL50+1),"")</f>
        <v>46</v>
      </c>
      <c r="BM51" s="194" t="str" cm="1">
        <f t="array" ref="BM51">IFERROR(INDEX(B31:BC180,BL51,BN2),"")</f>
        <v/>
      </c>
      <c r="BN51" s="194" t="str" cm="1">
        <f t="array" ref="BN51">IFERROR(INDEX(B31:BC180,BL51,BO2),"")</f>
        <v/>
      </c>
      <c r="BO51" s="194" t="str" cm="1">
        <f t="array" ref="BO51">IF(IFERROR(INDEX($B$31:$BC$180,BL51,$BM$2),"")=0,"",IFERROR(INDEX($B$31:$BC$180,BL51,$BM$2),""))</f>
        <v/>
      </c>
      <c r="BP51" s="194">
        <f>IFERROR(IF(BL50+1&gt;BQ2,BP50+1,0),"")</f>
        <v>0</v>
      </c>
      <c r="BR51" s="223" t="str">
        <f t="shared" si="6"/>
        <v/>
      </c>
      <c r="BS51" s="224" t="str" cm="1">
        <f t="array" ref="BS51">INDEX(BR:BR,SMALL(IF($BR$2:$BR$101&lt;&gt;"",ROW($BR$2:$BR$101),142),ROW(BR50)))&amp;""</f>
        <v/>
      </c>
      <c r="BT51" s="225" t="str">
        <f t="shared" si="7"/>
        <v/>
      </c>
      <c r="BU51" s="194" t="str">
        <f>IF(主要!AX60="","",主要!AX60)</f>
        <v/>
      </c>
      <c r="BV51" s="194" t="str">
        <f t="shared" si="8"/>
        <v/>
      </c>
    </row>
    <row r="52" spans="1:74" ht="16.2" customHeight="1" thickBot="1" x14ac:dyDescent="0.3">
      <c r="A52" s="178">
        <v>22</v>
      </c>
      <c r="B52" s="187">
        <v>15</v>
      </c>
      <c r="C52" s="178" t="s">
        <v>1152</v>
      </c>
      <c r="D52" s="189" t="s">
        <v>1153</v>
      </c>
      <c r="E52" s="178">
        <v>18</v>
      </c>
      <c r="F52" s="178" t="s">
        <v>1154</v>
      </c>
      <c r="G52" s="189" t="s">
        <v>1155</v>
      </c>
      <c r="H52" s="178">
        <v>10</v>
      </c>
      <c r="I52" s="178" t="s">
        <v>1156</v>
      </c>
      <c r="J52" s="189" t="s">
        <v>1157</v>
      </c>
      <c r="K52" s="178">
        <v>3</v>
      </c>
      <c r="L52" s="178" t="s">
        <v>1158</v>
      </c>
      <c r="M52" s="189" t="s">
        <v>1159</v>
      </c>
      <c r="N52" s="178">
        <v>3</v>
      </c>
      <c r="O52" s="190" t="s">
        <v>1160</v>
      </c>
      <c r="P52" s="191" t="s">
        <v>1161</v>
      </c>
      <c r="Q52" s="178">
        <v>10</v>
      </c>
      <c r="R52" s="178" t="s">
        <v>1162</v>
      </c>
      <c r="S52" s="189" t="s">
        <v>1163</v>
      </c>
      <c r="T52" s="178">
        <v>5</v>
      </c>
      <c r="U52" s="178" t="s">
        <v>1164</v>
      </c>
      <c r="V52" s="189" t="s">
        <v>1165</v>
      </c>
      <c r="W52" s="178">
        <v>10</v>
      </c>
      <c r="X52" s="178" t="s">
        <v>1166</v>
      </c>
      <c r="Y52" s="189" t="s">
        <v>1167</v>
      </c>
      <c r="Z52" s="178">
        <v>18</v>
      </c>
      <c r="AA52" s="178" t="s">
        <v>1168</v>
      </c>
      <c r="AB52" s="189" t="s">
        <v>1169</v>
      </c>
      <c r="AD52" s="192" t="s">
        <v>1170</v>
      </c>
      <c r="AE52" s="193" t="s">
        <v>1171</v>
      </c>
      <c r="AG52" s="192" t="s">
        <v>1172</v>
      </c>
      <c r="AH52" s="193" t="s">
        <v>1173</v>
      </c>
      <c r="AI52" s="178">
        <v>4</v>
      </c>
      <c r="AJ52" s="178" t="s">
        <v>609</v>
      </c>
      <c r="AK52" s="189" t="s">
        <v>1174</v>
      </c>
      <c r="AL52" s="178">
        <v>7</v>
      </c>
      <c r="AM52" s="178" t="s">
        <v>4531</v>
      </c>
      <c r="AN52" s="189" t="s">
        <v>4551</v>
      </c>
      <c r="BC52" s="209"/>
      <c r="BH52" s="178" t="s">
        <v>4451</v>
      </c>
      <c r="BI52" s="178">
        <v>71</v>
      </c>
      <c r="BJ52" s="178" cm="1">
        <f t="array" ref="BJ52">_xlfn.IFS($AI$6&gt;=18,76,$AI$6&gt;=15,75,$AI$6&gt;=10,74,$AI$6&gt;=7,73,$AI$6&gt;=3,72,1,0)</f>
        <v>0</v>
      </c>
      <c r="BL52" s="194">
        <f>IFERROR(IF(BL51+1&gt;BQ2,IF(BL51+1&gt;BQ2,IF(BP3+BP51&gt;BQ3,"",BP3+BP51)),BL51+1),"")</f>
        <v>47</v>
      </c>
      <c r="BM52" s="194" t="str" cm="1">
        <f t="array" ref="BM52">IFERROR(INDEX(B31:BC180,BL52,BN2),"")</f>
        <v/>
      </c>
      <c r="BN52" s="194" t="str" cm="1">
        <f t="array" ref="BN52">IFERROR(INDEX(B31:BC180,BL52,BO2),"")</f>
        <v/>
      </c>
      <c r="BO52" s="194" t="str" cm="1">
        <f t="array" ref="BO52">IF(IFERROR(INDEX($B$31:$BC$180,BL52,$BM$2),"")=0,"",IFERROR(INDEX($B$31:$BC$180,BL52,$BM$2),""))</f>
        <v/>
      </c>
      <c r="BP52" s="194">
        <f>IFERROR(IF(BL51+1&gt;BQ2,BP51+1,0),"")</f>
        <v>0</v>
      </c>
      <c r="BR52" s="223" t="str">
        <f t="shared" si="6"/>
        <v/>
      </c>
      <c r="BS52" s="224" t="str" cm="1">
        <f t="array" ref="BS52">INDEX(BR:BR,SMALL(IF($BR$2:$BR$101&lt;&gt;"",ROW($BR$2:$BR$101),142),ROW(BR51)))&amp;""</f>
        <v/>
      </c>
      <c r="BT52" s="225" t="str">
        <f t="shared" si="7"/>
        <v/>
      </c>
      <c r="BU52" s="194" t="str">
        <f>IF(主要!AX61="","",主要!AX61)</f>
        <v/>
      </c>
      <c r="BV52" s="194" t="str">
        <f t="shared" si="8"/>
        <v/>
      </c>
    </row>
    <row r="53" spans="1:74" ht="16.2" customHeight="1" thickTop="1" x14ac:dyDescent="0.25">
      <c r="A53" s="178">
        <v>23</v>
      </c>
      <c r="B53" s="187">
        <v>17</v>
      </c>
      <c r="C53" s="178" t="s">
        <v>1130</v>
      </c>
      <c r="D53" s="189" t="s">
        <v>1175</v>
      </c>
      <c r="E53" s="178">
        <v>19</v>
      </c>
      <c r="F53" s="178" t="s">
        <v>1115</v>
      </c>
      <c r="G53" s="189" t="s">
        <v>1176</v>
      </c>
      <c r="H53" s="178">
        <v>14</v>
      </c>
      <c r="I53" s="178" t="s">
        <v>1177</v>
      </c>
      <c r="J53" s="189" t="s">
        <v>1178</v>
      </c>
      <c r="K53" s="178">
        <v>4</v>
      </c>
      <c r="L53" s="178" t="s">
        <v>609</v>
      </c>
      <c r="M53" s="189" t="s">
        <v>1179</v>
      </c>
      <c r="O53" s="192" t="s">
        <v>1180</v>
      </c>
      <c r="P53" s="193" t="s">
        <v>1181</v>
      </c>
      <c r="Q53" s="178">
        <v>13</v>
      </c>
      <c r="R53" s="178" t="s">
        <v>1182</v>
      </c>
      <c r="S53" s="189" t="s">
        <v>1183</v>
      </c>
      <c r="T53" s="178">
        <v>6</v>
      </c>
      <c r="U53" s="178" t="s">
        <v>1184</v>
      </c>
      <c r="V53" s="189" t="s">
        <v>1185</v>
      </c>
      <c r="W53" s="178">
        <v>13</v>
      </c>
      <c r="X53" s="178" t="s">
        <v>1186</v>
      </c>
      <c r="Y53" s="189" t="s">
        <v>1187</v>
      </c>
      <c r="Z53" s="178">
        <v>19</v>
      </c>
      <c r="AA53" s="178" t="s">
        <v>1115</v>
      </c>
      <c r="AB53" s="189" t="s">
        <v>1188</v>
      </c>
      <c r="AD53" s="192" t="s">
        <v>1189</v>
      </c>
      <c r="AE53" s="193" t="s">
        <v>1190</v>
      </c>
      <c r="AG53" s="192" t="s">
        <v>1191</v>
      </c>
      <c r="AH53" s="193" t="s">
        <v>1192</v>
      </c>
      <c r="AI53" s="178">
        <v>5</v>
      </c>
      <c r="AJ53" s="178" t="s">
        <v>1193</v>
      </c>
      <c r="AK53" s="189" t="s">
        <v>1194</v>
      </c>
      <c r="AL53" s="178">
        <v>10</v>
      </c>
      <c r="AM53" s="178" t="s">
        <v>4532</v>
      </c>
      <c r="AN53" s="189" t="s">
        <v>4552</v>
      </c>
      <c r="BC53" s="209"/>
      <c r="BH53" s="222" t="s">
        <v>777</v>
      </c>
      <c r="BI53" s="222">
        <v>28</v>
      </c>
      <c r="BJ53" s="222" cm="1">
        <f t="array" ref="BJ53">_xlfn.IFS($AI$7&gt;=17,34,$AI$7&gt;=11,33,$AI$7&gt;=6,32,$AI$7&gt;=3,31,1,0)</f>
        <v>0</v>
      </c>
      <c r="BL53" s="194">
        <f>IFERROR(IF(BL52+1&gt;BQ2,IF(BL52+1&gt;BQ2,IF(BP3+BP52&gt;BQ3,"",BP3+BP52)),BL52+1),"")</f>
        <v>48</v>
      </c>
      <c r="BM53" s="194" t="str" cm="1">
        <f t="array" ref="BM53">IFERROR(INDEX(B31:BC180,BL53,BN2),"")</f>
        <v/>
      </c>
      <c r="BN53" s="194" t="str" cm="1">
        <f t="array" ref="BN53">IFERROR(INDEX(B31:BC180,BL53,BO2),"")</f>
        <v/>
      </c>
      <c r="BO53" s="194" t="str" cm="1">
        <f t="array" ref="BO53">IF(IFERROR(INDEX($B$31:$BC$180,BL53,$BM$2),"")=0,"",IFERROR(INDEX($B$31:$BC$180,BL53,$BM$2),""))</f>
        <v/>
      </c>
      <c r="BP53" s="194">
        <f>IFERROR(IF(BL52+1&gt;BQ2,BP52+1,0),"")</f>
        <v>0</v>
      </c>
      <c r="BR53" s="223" t="str">
        <f t="shared" si="6"/>
        <v/>
      </c>
      <c r="BS53" s="224" t="str" cm="1">
        <f t="array" ref="BS53">INDEX(BR:BR,SMALL(IF($BR$2:$BR$101&lt;&gt;"",ROW($BR$2:$BR$101),142),ROW(BR52)))&amp;""</f>
        <v/>
      </c>
      <c r="BT53" s="225" t="str">
        <f t="shared" si="7"/>
        <v/>
      </c>
      <c r="BU53" s="194" t="str">
        <f>IF(主要!AX62="","",主要!AX62)</f>
        <v/>
      </c>
      <c r="BV53" s="194" t="str">
        <f t="shared" si="8"/>
        <v/>
      </c>
    </row>
    <row r="54" spans="1:74" ht="16.2" customHeight="1" x14ac:dyDescent="0.25">
      <c r="A54" s="178">
        <v>24</v>
      </c>
      <c r="B54" s="187">
        <v>18</v>
      </c>
      <c r="C54" s="178" t="s">
        <v>1195</v>
      </c>
      <c r="D54" s="189" t="s">
        <v>1196</v>
      </c>
      <c r="E54" s="178">
        <v>20</v>
      </c>
      <c r="F54" s="178" t="s">
        <v>1197</v>
      </c>
      <c r="G54" s="189" t="s">
        <v>1198</v>
      </c>
      <c r="H54" s="178">
        <v>19</v>
      </c>
      <c r="I54" s="178" t="s">
        <v>1115</v>
      </c>
      <c r="J54" s="189" t="s">
        <v>1199</v>
      </c>
      <c r="K54" s="178">
        <v>5</v>
      </c>
      <c r="L54" s="178" t="s">
        <v>1200</v>
      </c>
      <c r="M54" s="189" t="s">
        <v>1201</v>
      </c>
      <c r="O54" s="192" t="s">
        <v>1202</v>
      </c>
      <c r="P54" s="193" t="s">
        <v>1203</v>
      </c>
      <c r="Q54" s="178">
        <v>14</v>
      </c>
      <c r="R54" s="178" t="s">
        <v>1204</v>
      </c>
      <c r="S54" s="189" t="s">
        <v>1205</v>
      </c>
      <c r="T54" s="178">
        <v>9</v>
      </c>
      <c r="U54" s="178" t="s">
        <v>1206</v>
      </c>
      <c r="V54" s="189" t="s">
        <v>1207</v>
      </c>
      <c r="W54" s="178">
        <v>14</v>
      </c>
      <c r="X54" s="178" t="s">
        <v>1208</v>
      </c>
      <c r="Y54" s="189" t="s">
        <v>1209</v>
      </c>
      <c r="Z54" s="178">
        <v>20</v>
      </c>
      <c r="AA54" s="178" t="s">
        <v>1210</v>
      </c>
      <c r="AB54" s="189" t="s">
        <v>1211</v>
      </c>
      <c r="AD54" s="192" t="s">
        <v>1212</v>
      </c>
      <c r="AE54" s="193" t="s">
        <v>4726</v>
      </c>
      <c r="AG54" s="192" t="s">
        <v>1213</v>
      </c>
      <c r="AH54" s="193" t="s">
        <v>1214</v>
      </c>
      <c r="AI54" s="178">
        <v>18</v>
      </c>
      <c r="AJ54" s="178" t="s">
        <v>1215</v>
      </c>
      <c r="AK54" s="189" t="s">
        <v>1216</v>
      </c>
      <c r="AL54" s="178">
        <v>10</v>
      </c>
      <c r="AM54" s="178" t="s">
        <v>4533</v>
      </c>
      <c r="AN54" s="189" t="s">
        <v>4553</v>
      </c>
      <c r="BC54" s="209"/>
      <c r="BH54" s="178" t="s">
        <v>778</v>
      </c>
      <c r="BI54" s="178">
        <v>35</v>
      </c>
      <c r="BJ54" s="178" cm="1">
        <f t="array" ref="BJ54">_xlfn.IFS($AI$7&gt;=17,38,$AI$7&gt;=11,37,$AI$7&gt;=6,36,$AI$7&gt;=3,35,1,0)</f>
        <v>0</v>
      </c>
      <c r="BL54" s="194">
        <f>IFERROR(IF(BL53+1&gt;BQ2,IF(BL53+1&gt;BQ2,IF(BP3+BP53&gt;BQ3,"",BP3+BP53)),BL53+1),"")</f>
        <v>49</v>
      </c>
      <c r="BM54" s="194" t="str" cm="1">
        <f t="array" ref="BM54">IFERROR(INDEX(B31:BC180,BL54,BN2),"")</f>
        <v/>
      </c>
      <c r="BN54" s="194" t="str" cm="1">
        <f t="array" ref="BN54">IFERROR(INDEX(B31:BC180,BL54,BO2),"")</f>
        <v/>
      </c>
      <c r="BO54" s="194" t="str" cm="1">
        <f t="array" ref="BO54">IF(IFERROR(INDEX($B$31:$BC$180,BL54,$BM$2),"")=0,"",IFERROR(INDEX($B$31:$BC$180,BL54,$BM$2),""))</f>
        <v/>
      </c>
      <c r="BP54" s="194">
        <f>IFERROR(IF(BL53+1&gt;BQ2,BP53+1,0),"")</f>
        <v>0</v>
      </c>
      <c r="BR54" s="223" t="str">
        <f t="shared" si="6"/>
        <v/>
      </c>
      <c r="BS54" s="224" t="str" cm="1">
        <f t="array" ref="BS54">INDEX(BR:BR,SMALL(IF($BR$2:$BR$101&lt;&gt;"",ROW($BR$2:$BR$101),142),ROW(BR53)))&amp;""</f>
        <v/>
      </c>
      <c r="BT54" s="225" t="str">
        <f t="shared" si="7"/>
        <v/>
      </c>
      <c r="BU54" s="194" t="str">
        <f>IF(主要!AX63="","",主要!AX63)</f>
        <v/>
      </c>
      <c r="BV54" s="194" t="str">
        <f t="shared" si="8"/>
        <v/>
      </c>
    </row>
    <row r="55" spans="1:74" ht="16.2" customHeight="1" x14ac:dyDescent="0.25">
      <c r="A55" s="178">
        <v>25</v>
      </c>
      <c r="B55" s="187">
        <v>19</v>
      </c>
      <c r="C55" s="178" t="s">
        <v>1115</v>
      </c>
      <c r="D55" s="189" t="s">
        <v>1217</v>
      </c>
      <c r="E55" s="178">
        <v>3</v>
      </c>
      <c r="F55" s="190" t="s">
        <v>1218</v>
      </c>
      <c r="G55" s="191" t="s">
        <v>1219</v>
      </c>
      <c r="H55" s="178">
        <v>20</v>
      </c>
      <c r="I55" s="178" t="s">
        <v>1220</v>
      </c>
      <c r="J55" s="189" t="s">
        <v>1221</v>
      </c>
      <c r="K55" s="178">
        <v>7</v>
      </c>
      <c r="L55" s="178" t="s">
        <v>1222</v>
      </c>
      <c r="M55" s="189" t="s">
        <v>1223</v>
      </c>
      <c r="O55" s="192" t="s">
        <v>1224</v>
      </c>
      <c r="P55" s="193" t="s">
        <v>1225</v>
      </c>
      <c r="Q55" s="178">
        <v>15</v>
      </c>
      <c r="R55" s="178" t="s">
        <v>1226</v>
      </c>
      <c r="S55" s="189" t="s">
        <v>1227</v>
      </c>
      <c r="T55" s="178">
        <v>10</v>
      </c>
      <c r="U55" s="178" t="s">
        <v>1228</v>
      </c>
      <c r="V55" s="189" t="s">
        <v>1229</v>
      </c>
      <c r="W55" s="178">
        <v>17</v>
      </c>
      <c r="X55" s="178" t="s">
        <v>1230</v>
      </c>
      <c r="Y55" s="189" t="s">
        <v>1231</v>
      </c>
      <c r="Z55" s="178">
        <v>3</v>
      </c>
      <c r="AA55" s="190" t="s">
        <v>868</v>
      </c>
      <c r="AB55" s="191" t="s">
        <v>1232</v>
      </c>
      <c r="AD55" s="192" t="s">
        <v>1233</v>
      </c>
      <c r="AE55" s="193" t="s">
        <v>1234</v>
      </c>
      <c r="AG55" s="192" t="s">
        <v>1235</v>
      </c>
      <c r="AH55" s="193" t="s">
        <v>1236</v>
      </c>
      <c r="AI55" s="178">
        <v>19</v>
      </c>
      <c r="AJ55" s="178" t="s">
        <v>1115</v>
      </c>
      <c r="AK55" s="189" t="s">
        <v>1237</v>
      </c>
      <c r="AL55" s="178">
        <v>11</v>
      </c>
      <c r="AM55" s="178" t="s">
        <v>4534</v>
      </c>
      <c r="AN55" s="189" t="s">
        <v>4554</v>
      </c>
      <c r="BC55" s="209"/>
      <c r="BH55" s="178" t="s">
        <v>779</v>
      </c>
      <c r="BI55" s="178">
        <v>39</v>
      </c>
      <c r="BJ55" s="178" cm="1">
        <f t="array" ref="BJ55">_xlfn.IFS($AI$7&gt;=17,43,$AI$7&gt;=11,42,$AI$7&gt;=6,41,$AI$7&gt;=3,40,1,0)</f>
        <v>0</v>
      </c>
      <c r="BL55" s="194">
        <f>IFERROR(IF(BL54+1&gt;BQ2,IF(BL54+1&gt;BQ2,IF(BP3+BP54&gt;BQ3,"",BP3+BP54)),BL54+1),"")</f>
        <v>50</v>
      </c>
      <c r="BM55" s="194" t="str" cm="1">
        <f t="array" ref="BM55">IFERROR(INDEX(B31:BC180,BL55,BN2),"")</f>
        <v/>
      </c>
      <c r="BN55" s="194" t="str" cm="1">
        <f t="array" ref="BN55">IFERROR(INDEX(B31:BC180,BL55,BO2),"")</f>
        <v/>
      </c>
      <c r="BO55" s="194" t="str" cm="1">
        <f t="array" ref="BO55">IF(IFERROR(INDEX($B$31:$BC$180,BL55,$BM$2),"")=0,"",IFERROR(INDEX($B$31:$BC$180,BL55,$BM$2),""))</f>
        <v/>
      </c>
      <c r="BP55" s="194">
        <f>IFERROR(IF(BL54+1&gt;BQ2,BP54+1,0),"")</f>
        <v>0</v>
      </c>
      <c r="BR55" s="223" t="str">
        <f t="shared" si="6"/>
        <v/>
      </c>
      <c r="BS55" s="224" t="str" cm="1">
        <f t="array" ref="BS55">INDEX(BR:BR,SMALL(IF($BR$2:$BR$101&lt;&gt;"",ROW($BR$2:$BR$101),142),ROW(BR54)))&amp;""</f>
        <v/>
      </c>
      <c r="BT55" s="225" t="str">
        <f t="shared" si="7"/>
        <v/>
      </c>
      <c r="BU55" s="194" t="str">
        <f>IF(主要!AX64="","",主要!AX64)</f>
        <v/>
      </c>
      <c r="BV55" s="194" t="str">
        <f t="shared" si="8"/>
        <v/>
      </c>
    </row>
    <row r="56" spans="1:74" ht="16.2" customHeight="1" thickBot="1" x14ac:dyDescent="0.3">
      <c r="A56" s="178">
        <v>26</v>
      </c>
      <c r="B56" s="187">
        <v>20</v>
      </c>
      <c r="C56" s="178" t="s">
        <v>1238</v>
      </c>
      <c r="D56" s="189" t="s">
        <v>1239</v>
      </c>
      <c r="E56" s="178">
        <v>6</v>
      </c>
      <c r="F56" s="190" t="s">
        <v>1240</v>
      </c>
      <c r="G56" s="191" t="s">
        <v>1241</v>
      </c>
      <c r="H56" s="178">
        <v>3</v>
      </c>
      <c r="I56" s="190" t="s">
        <v>1242</v>
      </c>
      <c r="J56" s="191" t="s">
        <v>1243</v>
      </c>
      <c r="K56" s="178">
        <v>15</v>
      </c>
      <c r="L56" s="178" t="s">
        <v>1244</v>
      </c>
      <c r="M56" s="189" t="s">
        <v>1245</v>
      </c>
      <c r="O56" s="192" t="s">
        <v>1246</v>
      </c>
      <c r="P56" s="193" t="s">
        <v>1247</v>
      </c>
      <c r="Q56" s="178">
        <v>18</v>
      </c>
      <c r="R56" s="178" t="s">
        <v>1248</v>
      </c>
      <c r="S56" s="189" t="s">
        <v>1249</v>
      </c>
      <c r="T56" s="178">
        <v>11</v>
      </c>
      <c r="U56" s="178" t="s">
        <v>1250</v>
      </c>
      <c r="V56" s="189" t="s">
        <v>1251</v>
      </c>
      <c r="W56" s="178">
        <v>18</v>
      </c>
      <c r="X56" s="178" t="s">
        <v>1252</v>
      </c>
      <c r="Y56" s="189" t="s">
        <v>1253</v>
      </c>
      <c r="AA56" s="190" t="s">
        <v>225</v>
      </c>
      <c r="AB56" s="191" t="s">
        <v>1254</v>
      </c>
      <c r="AD56" s="192" t="s">
        <v>1255</v>
      </c>
      <c r="AE56" s="193" t="s">
        <v>1256</v>
      </c>
      <c r="AG56" s="192" t="s">
        <v>1257</v>
      </c>
      <c r="AH56" s="193" t="s">
        <v>1258</v>
      </c>
      <c r="AI56" s="178">
        <v>20</v>
      </c>
      <c r="AJ56" s="178" t="s">
        <v>1259</v>
      </c>
      <c r="AK56" s="189" t="s">
        <v>1260</v>
      </c>
      <c r="AL56" s="178">
        <v>14</v>
      </c>
      <c r="AM56" s="178" t="s">
        <v>4535</v>
      </c>
      <c r="AN56" s="189" t="s">
        <v>4555</v>
      </c>
      <c r="BC56" s="209"/>
      <c r="BH56" s="178" t="s">
        <v>780</v>
      </c>
      <c r="BI56" s="178">
        <v>44</v>
      </c>
      <c r="BJ56" s="178" cm="1">
        <f t="array" ref="BJ56">_xlfn.IFS($AI$7&gt;=17,47,$AI$7&gt;=11,46,$AI$7&gt;=6,45,$AI$7&gt;=3,44,1,0)</f>
        <v>0</v>
      </c>
      <c r="BL56" s="194">
        <f>IFERROR(IF(BL55+1&gt;BQ2,IF(BL55+1&gt;BQ2,IF(BP3+BP55&gt;BQ3,"",BP3+BP55)),BL55+1),"")</f>
        <v>51</v>
      </c>
      <c r="BM56" s="194" t="str" cm="1">
        <f t="array" ref="BM56">IFERROR(INDEX(B31:BC180,BL56,BN2),"")</f>
        <v/>
      </c>
      <c r="BN56" s="194" t="str" cm="1">
        <f t="array" ref="BN56">IFERROR(INDEX(B31:BC180,BL56,BO2),"")</f>
        <v/>
      </c>
      <c r="BO56" s="194" t="str" cm="1">
        <f t="array" ref="BO56">IF(IFERROR(INDEX($B$31:$BC$180,BL56,$BM$2),"")=0,"",IFERROR(INDEX($B$31:$BC$180,BL56,$BM$2),""))</f>
        <v/>
      </c>
      <c r="BP56" s="194">
        <f>IFERROR(IF(BL55+1&gt;BQ2,BP55+1,0),"")</f>
        <v>0</v>
      </c>
      <c r="BR56" s="223" t="str">
        <f t="shared" si="6"/>
        <v/>
      </c>
      <c r="BS56" s="224" t="str" cm="1">
        <f t="array" ref="BS56">INDEX(BR:BR,SMALL(IF($BR$2:$BR$101&lt;&gt;"",ROW($BR$2:$BR$101),142),ROW(BR55)))&amp;""</f>
        <v/>
      </c>
      <c r="BT56" s="225" t="str">
        <f t="shared" si="7"/>
        <v/>
      </c>
      <c r="BU56" s="194" t="str">
        <f>IF(主要!AX65="","",主要!AX65)</f>
        <v/>
      </c>
      <c r="BV56" s="194" t="str">
        <f t="shared" si="8"/>
        <v/>
      </c>
    </row>
    <row r="57" spans="1:74" ht="16.2" customHeight="1" thickTop="1" x14ac:dyDescent="0.25">
      <c r="A57" s="178">
        <v>27</v>
      </c>
      <c r="B57" s="187">
        <v>3</v>
      </c>
      <c r="C57" s="190" t="s">
        <v>1261</v>
      </c>
      <c r="D57" s="191" t="s">
        <v>1262</v>
      </c>
      <c r="E57" s="178">
        <v>6</v>
      </c>
      <c r="F57" s="190" t="s">
        <v>1263</v>
      </c>
      <c r="G57" s="191" t="s">
        <v>1264</v>
      </c>
      <c r="H57" s="178">
        <v>3</v>
      </c>
      <c r="I57" s="190" t="s">
        <v>1265</v>
      </c>
      <c r="J57" s="191" t="s">
        <v>4431</v>
      </c>
      <c r="K57" s="178">
        <v>18</v>
      </c>
      <c r="L57" s="178" t="s">
        <v>1266</v>
      </c>
      <c r="M57" s="189" t="s">
        <v>1267</v>
      </c>
      <c r="O57" s="192" t="s">
        <v>1268</v>
      </c>
      <c r="P57" s="193" t="s">
        <v>1269</v>
      </c>
      <c r="Q57" s="178">
        <v>19</v>
      </c>
      <c r="R57" s="178" t="s">
        <v>1115</v>
      </c>
      <c r="S57" s="189" t="s">
        <v>1270</v>
      </c>
      <c r="T57" s="178">
        <v>14</v>
      </c>
      <c r="U57" s="178" t="s">
        <v>1271</v>
      </c>
      <c r="V57" s="189" t="s">
        <v>1272</v>
      </c>
      <c r="W57" s="178">
        <v>19</v>
      </c>
      <c r="X57" s="178" t="s">
        <v>1115</v>
      </c>
      <c r="Y57" s="189" t="s">
        <v>1273</v>
      </c>
      <c r="AA57" s="190" t="s">
        <v>185</v>
      </c>
      <c r="AB57" s="191" t="s">
        <v>1274</v>
      </c>
      <c r="AC57" s="178">
        <v>3</v>
      </c>
      <c r="AD57" s="178" t="s">
        <v>1275</v>
      </c>
      <c r="AE57" s="189" t="s">
        <v>1276</v>
      </c>
      <c r="AG57" s="192" t="s">
        <v>1277</v>
      </c>
      <c r="AH57" s="193" t="s">
        <v>1278</v>
      </c>
      <c r="AI57" s="178">
        <v>3</v>
      </c>
      <c r="AJ57" s="190" t="s">
        <v>1279</v>
      </c>
      <c r="AK57" s="191" t="s">
        <v>1280</v>
      </c>
      <c r="AL57" s="178">
        <v>14</v>
      </c>
      <c r="AM57" s="178" t="s">
        <v>4536</v>
      </c>
      <c r="AN57" s="189" t="s">
        <v>4556</v>
      </c>
      <c r="BC57" s="209"/>
      <c r="BH57" s="222" t="s">
        <v>782</v>
      </c>
      <c r="BI57" s="222">
        <v>30</v>
      </c>
      <c r="BJ57" s="222" cm="1">
        <f t="array" ref="BJ57">_xlfn.IFS($AI$8=20,34,$AI$8&gt;=15,33,$AI$8&gt;=7,32,$AI$8&gt;=3,31,1,0)</f>
        <v>0</v>
      </c>
      <c r="BL57" s="194">
        <f>IFERROR(IF(BL56+1&gt;BQ2,IF(BL56+1&gt;BQ2,IF(BP3+BP56&gt;BQ3,"",BP3+BP56)),BL56+1),"")</f>
        <v>52</v>
      </c>
      <c r="BM57" s="194" t="str" cm="1">
        <f t="array" ref="BM57">IFERROR(INDEX(B31:BC180,BL57,BN2),"")</f>
        <v/>
      </c>
      <c r="BN57" s="194" t="str" cm="1">
        <f t="array" ref="BN57">IFERROR(INDEX(B31:BC180,BL57,BO2),"")</f>
        <v/>
      </c>
      <c r="BO57" s="194" t="str" cm="1">
        <f t="array" ref="BO57">IF(IFERROR(INDEX($B$31:$BC$180,BL57,$BM$2),"")=0,"",IFERROR(INDEX($B$31:$BC$180,BL57,$BM$2),""))</f>
        <v/>
      </c>
      <c r="BP57" s="194">
        <f>IFERROR(IF(BL56+1&gt;BQ2,BP56+1,0),"")</f>
        <v>0</v>
      </c>
      <c r="BR57" s="223" t="str">
        <f t="shared" si="6"/>
        <v/>
      </c>
      <c r="BS57" s="224" t="str" cm="1">
        <f t="array" ref="BS57">INDEX(BR:BR,SMALL(IF($BR$2:$BR$101&lt;&gt;"",ROW($BR$2:$BR$101),142),ROW(BR56)))&amp;""</f>
        <v/>
      </c>
      <c r="BT57" s="225" t="str">
        <f t="shared" si="7"/>
        <v/>
      </c>
      <c r="BU57" s="194" t="str">
        <f>IF(主要!AX66="","",主要!AX66)</f>
        <v/>
      </c>
      <c r="BV57" s="194" t="str">
        <f t="shared" si="8"/>
        <v/>
      </c>
    </row>
    <row r="58" spans="1:74" ht="16.2" customHeight="1" x14ac:dyDescent="0.25">
      <c r="A58" s="178">
        <v>28</v>
      </c>
      <c r="B58" s="187">
        <v>6</v>
      </c>
      <c r="C58" s="190" t="s">
        <v>1281</v>
      </c>
      <c r="D58" s="191" t="s">
        <v>1282</v>
      </c>
      <c r="E58" s="178">
        <v>14</v>
      </c>
      <c r="F58" s="190" t="s">
        <v>1283</v>
      </c>
      <c r="G58" s="191" t="s">
        <v>1284</v>
      </c>
      <c r="H58" s="178">
        <v>3</v>
      </c>
      <c r="I58" s="190" t="s">
        <v>1285</v>
      </c>
      <c r="J58" s="191" t="s">
        <v>1286</v>
      </c>
      <c r="K58" s="178">
        <v>19</v>
      </c>
      <c r="L58" s="178" t="s">
        <v>1115</v>
      </c>
      <c r="M58" s="189" t="s">
        <v>1287</v>
      </c>
      <c r="O58" s="192" t="s">
        <v>1288</v>
      </c>
      <c r="P58" s="193" t="s">
        <v>1289</v>
      </c>
      <c r="Q58" s="178">
        <v>20</v>
      </c>
      <c r="R58" s="178" t="s">
        <v>1290</v>
      </c>
      <c r="S58" s="189" t="s">
        <v>1291</v>
      </c>
      <c r="T58" s="178">
        <v>18</v>
      </c>
      <c r="U58" s="178" t="s">
        <v>1292</v>
      </c>
      <c r="V58" s="189" t="s">
        <v>1293</v>
      </c>
      <c r="W58" s="178">
        <v>20</v>
      </c>
      <c r="X58" s="178" t="s">
        <v>1294</v>
      </c>
      <c r="Y58" s="189" t="s">
        <v>1295</v>
      </c>
      <c r="AA58" s="190" t="s">
        <v>909</v>
      </c>
      <c r="AB58" s="191" t="s">
        <v>1296</v>
      </c>
      <c r="AC58" s="178">
        <v>4</v>
      </c>
      <c r="AD58" s="178" t="s">
        <v>609</v>
      </c>
      <c r="AE58" s="189" t="s">
        <v>1297</v>
      </c>
      <c r="AG58" s="192" t="s">
        <v>1298</v>
      </c>
      <c r="AH58" s="193" t="s">
        <v>1299</v>
      </c>
      <c r="AI58" s="178">
        <v>3</v>
      </c>
      <c r="AJ58" s="190" t="s">
        <v>1300</v>
      </c>
      <c r="AK58" s="191" t="s">
        <v>1301</v>
      </c>
      <c r="AL58" s="178">
        <v>18</v>
      </c>
      <c r="AM58" s="178" t="s">
        <v>4537</v>
      </c>
      <c r="AN58" s="189" t="s">
        <v>4557</v>
      </c>
      <c r="BC58" s="209"/>
      <c r="BH58" s="178" t="s">
        <v>783</v>
      </c>
      <c r="BI58" s="178">
        <v>35</v>
      </c>
      <c r="BJ58" s="178" cm="1">
        <f t="array" ref="BJ58">_xlfn.IFS($AI$8=20,40,$AI$8&gt;=15,39,$AI$8&gt;=7,38,$AI$8&gt;=3,37,1,0)</f>
        <v>0</v>
      </c>
      <c r="BL58" s="194">
        <f>IFERROR(IF(BL57+1&gt;BQ2,IF(BL57+1&gt;BQ2,IF(BP3+BP57&gt;BQ3,"",BP3+BP57)),BL57+1),"")</f>
        <v>53</v>
      </c>
      <c r="BM58" s="194" t="str" cm="1">
        <f t="array" ref="BM58">IFERROR(INDEX(B31:BC180,BL58,BN2),"")</f>
        <v/>
      </c>
      <c r="BN58" s="194" t="str" cm="1">
        <f t="array" ref="BN58">IFERROR(INDEX(B31:BC180,BL58,BO2),"")</f>
        <v/>
      </c>
      <c r="BO58" s="194" t="str" cm="1">
        <f t="array" ref="BO58">IF(IFERROR(INDEX($B$31:$BC$180,BL58,$BM$2),"")=0,"",IFERROR(INDEX($B$31:$BC$180,BL58,$BM$2),""))</f>
        <v/>
      </c>
      <c r="BP58" s="194">
        <f>IFERROR(IF(BL57+1&gt;BQ2,BP57+1,0),"")</f>
        <v>0</v>
      </c>
      <c r="BR58" s="223" t="str">
        <f t="shared" si="6"/>
        <v/>
      </c>
      <c r="BS58" s="224" t="str" cm="1">
        <f t="array" ref="BS58">INDEX(BR:BR,SMALL(IF($BR$2:$BR$101&lt;&gt;"",ROW($BR$2:$BR$101),142),ROW(BR57)))&amp;""</f>
        <v/>
      </c>
      <c r="BT58" s="225" t="str">
        <f t="shared" si="7"/>
        <v/>
      </c>
      <c r="BU58" s="194" t="str">
        <f>IF(主要!AX67="","",主要!AX67)</f>
        <v/>
      </c>
      <c r="BV58" s="194" t="str">
        <f t="shared" si="8"/>
        <v/>
      </c>
    </row>
    <row r="59" spans="1:74" ht="16.2" customHeight="1" x14ac:dyDescent="0.25">
      <c r="A59" s="178">
        <v>29</v>
      </c>
      <c r="B59" s="187">
        <v>10</v>
      </c>
      <c r="C59" s="190" t="s">
        <v>1302</v>
      </c>
      <c r="D59" s="191" t="s">
        <v>1303</v>
      </c>
      <c r="E59" s="178">
        <v>3</v>
      </c>
      <c r="F59" s="178" t="s">
        <v>1304</v>
      </c>
      <c r="G59" s="189" t="s">
        <v>1305</v>
      </c>
      <c r="H59" s="178">
        <v>6</v>
      </c>
      <c r="I59" s="190" t="s">
        <v>1306</v>
      </c>
      <c r="J59" s="191" t="s">
        <v>1307</v>
      </c>
      <c r="K59" s="178">
        <v>20</v>
      </c>
      <c r="L59" s="178" t="s">
        <v>1308</v>
      </c>
      <c r="M59" s="189" t="s">
        <v>1309</v>
      </c>
      <c r="O59" s="192" t="s">
        <v>1310</v>
      </c>
      <c r="P59" s="193" t="s">
        <v>1311</v>
      </c>
      <c r="Q59" s="178">
        <v>3</v>
      </c>
      <c r="R59" s="190" t="s">
        <v>1312</v>
      </c>
      <c r="S59" s="191" t="s">
        <v>1313</v>
      </c>
      <c r="T59" s="178">
        <v>19</v>
      </c>
      <c r="U59" s="178" t="s">
        <v>1115</v>
      </c>
      <c r="V59" s="189" t="s">
        <v>1314</v>
      </c>
      <c r="W59" s="178">
        <v>3</v>
      </c>
      <c r="X59" s="190" t="s">
        <v>1315</v>
      </c>
      <c r="Y59" s="191" t="s">
        <v>1316</v>
      </c>
      <c r="AA59" s="190" t="s">
        <v>926</v>
      </c>
      <c r="AB59" s="191" t="s">
        <v>1317</v>
      </c>
      <c r="AC59" s="178">
        <v>5</v>
      </c>
      <c r="AD59" s="178" t="s">
        <v>1318</v>
      </c>
      <c r="AE59" s="189" t="s">
        <v>1319</v>
      </c>
      <c r="AG59" s="192" t="s">
        <v>1320</v>
      </c>
      <c r="AH59" s="193" t="s">
        <v>1321</v>
      </c>
      <c r="AI59" s="178">
        <v>6</v>
      </c>
      <c r="AJ59" s="190" t="s">
        <v>1322</v>
      </c>
      <c r="AK59" s="191" t="s">
        <v>1323</v>
      </c>
      <c r="AL59" s="178">
        <v>19</v>
      </c>
      <c r="AM59" s="178" t="s">
        <v>1115</v>
      </c>
      <c r="AN59" s="189" t="s">
        <v>4558</v>
      </c>
      <c r="BC59" s="209"/>
      <c r="BH59" s="178" t="s">
        <v>784</v>
      </c>
      <c r="BI59" s="178">
        <v>41</v>
      </c>
      <c r="BJ59" s="178" cm="1">
        <f t="array" ref="BJ59">_xlfn.IFS($AI$8=20,45,$AI$8&gt;=15,44,$AI$8&gt;=7,43,$AI$8&gt;=3,42,1,0)</f>
        <v>0</v>
      </c>
      <c r="BL59" s="194">
        <f>IFERROR(IF(BL58+1&gt;BQ2,IF(BL58+1&gt;BQ2,IF(BP3+BP58&gt;BQ3,"",BP3+BP58)),BL58+1),"")</f>
        <v>54</v>
      </c>
      <c r="BM59" s="194" t="str" cm="1">
        <f t="array" ref="BM59">IFERROR(INDEX(B31:BC180,BL59,BN2),"")</f>
        <v/>
      </c>
      <c r="BN59" s="194" t="str" cm="1">
        <f t="array" ref="BN59">IFERROR(INDEX(B31:BC180,BL59,BO2),"")</f>
        <v/>
      </c>
      <c r="BO59" s="194" t="str" cm="1">
        <f t="array" ref="BO59">IF(IFERROR(INDEX($B$31:$BC$180,BL59,$BM$2),"")=0,"",IFERROR(INDEX($B$31:$BC$180,BL59,$BM$2),""))</f>
        <v/>
      </c>
      <c r="BP59" s="194">
        <f>IFERROR(IF(BL58+1&gt;BQ2,BP58+1,0),"")</f>
        <v>0</v>
      </c>
      <c r="BR59" s="223" t="str">
        <f t="shared" si="6"/>
        <v/>
      </c>
      <c r="BS59" s="224" t="str" cm="1">
        <f t="array" ref="BS59">INDEX(BR:BR,SMALL(IF($BR$2:$BR$101&lt;&gt;"",ROW($BR$2:$BR$101),142),ROW(BR58)))&amp;""</f>
        <v/>
      </c>
    </row>
    <row r="60" spans="1:74" ht="16.2" customHeight="1" x14ac:dyDescent="0.25">
      <c r="A60" s="178">
        <v>30</v>
      </c>
      <c r="B60" s="187">
        <v>14</v>
      </c>
      <c r="C60" s="190" t="s">
        <v>1324</v>
      </c>
      <c r="D60" s="191" t="s">
        <v>1325</v>
      </c>
      <c r="E60" s="178">
        <v>3</v>
      </c>
      <c r="F60" s="178" t="s">
        <v>1326</v>
      </c>
      <c r="G60" s="189" t="s">
        <v>1327</v>
      </c>
      <c r="H60" s="178">
        <v>17</v>
      </c>
      <c r="I60" s="190" t="s">
        <v>1328</v>
      </c>
      <c r="J60" s="191" t="s">
        <v>1329</v>
      </c>
      <c r="K60" s="178">
        <v>3</v>
      </c>
      <c r="L60" s="190" t="s">
        <v>1330</v>
      </c>
      <c r="M60" s="191" t="s">
        <v>1331</v>
      </c>
      <c r="O60" s="192" t="s">
        <v>1332</v>
      </c>
      <c r="P60" s="193" t="s">
        <v>1333</v>
      </c>
      <c r="Q60" s="178">
        <v>3</v>
      </c>
      <c r="R60" s="190" t="s">
        <v>1334</v>
      </c>
      <c r="S60" s="191" t="s">
        <v>1335</v>
      </c>
      <c r="T60" s="178">
        <v>3</v>
      </c>
      <c r="U60" s="190" t="s">
        <v>1336</v>
      </c>
      <c r="V60" s="191" t="s">
        <v>1337</v>
      </c>
      <c r="W60" s="178">
        <v>7</v>
      </c>
      <c r="X60" s="190" t="s">
        <v>1338</v>
      </c>
      <c r="Y60" s="191" t="s">
        <v>1339</v>
      </c>
      <c r="AA60" s="190" t="s">
        <v>943</v>
      </c>
      <c r="AB60" s="191" t="s">
        <v>985</v>
      </c>
      <c r="AC60" s="178">
        <v>7</v>
      </c>
      <c r="AD60" s="178" t="s">
        <v>1340</v>
      </c>
      <c r="AE60" s="189" t="s">
        <v>1341</v>
      </c>
      <c r="AG60" s="192" t="s">
        <v>1342</v>
      </c>
      <c r="AH60" s="193" t="s">
        <v>1343</v>
      </c>
      <c r="AI60" s="178">
        <v>10</v>
      </c>
      <c r="AJ60" s="190" t="s">
        <v>1344</v>
      </c>
      <c r="AK60" s="191" t="s">
        <v>1345</v>
      </c>
      <c r="AL60" s="178">
        <v>20</v>
      </c>
      <c r="AM60" s="178" t="s">
        <v>4538</v>
      </c>
      <c r="AN60" s="189" t="s">
        <v>4559</v>
      </c>
      <c r="BC60" s="209"/>
      <c r="BH60" s="178" t="s">
        <v>785</v>
      </c>
      <c r="BI60" s="178">
        <v>46</v>
      </c>
      <c r="BJ60" s="178" cm="1">
        <f t="array" ref="BJ60">_xlfn.IFS($AI$8=20,50,$AI$8&gt;=15,49,$AI$8&gt;=7,48,$AI$8&gt;=3,47,1,0)</f>
        <v>0</v>
      </c>
      <c r="BL60" s="194">
        <f>IFERROR(IF(BL59+1&gt;BQ2,IF(BL59+1&gt;BQ2,IF(BP3+BP59&gt;BQ3,"",BP3+BP59)),BL59+1),"")</f>
        <v>55</v>
      </c>
      <c r="BM60" s="194" t="str" cm="1">
        <f t="array" ref="BM60">IFERROR(INDEX(B31:BC180,BL60,BN2),"")</f>
        <v/>
      </c>
      <c r="BN60" s="194" t="str" cm="1">
        <f t="array" ref="BN60">IFERROR(INDEX(B31:BC180,BL60,BO2),"")</f>
        <v/>
      </c>
      <c r="BO60" s="194" t="str" cm="1">
        <f t="array" ref="BO60">IF(IFERROR(INDEX($B$31:$BC$180,BL60,$BM$2),"")=0,"",IFERROR(INDEX($B$31:$BC$180,BL60,$BM$2),""))</f>
        <v/>
      </c>
      <c r="BP60" s="194">
        <f>IFERROR(IF(BL59+1&gt;BQ2,BP59+1,0),"")</f>
        <v>0</v>
      </c>
      <c r="BR60" s="223" t="str">
        <f t="shared" si="6"/>
        <v/>
      </c>
      <c r="BS60" s="224" t="str" cm="1">
        <f t="array" ref="BS60">INDEX(BR:BR,SMALL(IF($BR$2:$BR$101&lt;&gt;"",ROW($BR$2:$BR$101),142),ROW(BR59)))&amp;""</f>
        <v/>
      </c>
    </row>
    <row r="61" spans="1:74" ht="16.2" customHeight="1" thickBot="1" x14ac:dyDescent="0.3">
      <c r="A61" s="178">
        <v>31</v>
      </c>
      <c r="B61" s="187">
        <v>3</v>
      </c>
      <c r="C61" s="178" t="s">
        <v>1346</v>
      </c>
      <c r="D61" s="189" t="s">
        <v>1347</v>
      </c>
      <c r="E61" s="178">
        <v>6</v>
      </c>
      <c r="F61" s="178" t="s">
        <v>1348</v>
      </c>
      <c r="G61" s="189" t="s">
        <v>1349</v>
      </c>
      <c r="H61" s="178">
        <v>3</v>
      </c>
      <c r="I61" s="178" t="s">
        <v>1350</v>
      </c>
      <c r="J61" s="189" t="s">
        <v>1351</v>
      </c>
      <c r="K61" s="178">
        <v>3</v>
      </c>
      <c r="L61" s="190" t="s">
        <v>1352</v>
      </c>
      <c r="M61" s="191" t="s">
        <v>1353</v>
      </c>
      <c r="O61" s="192" t="s">
        <v>1354</v>
      </c>
      <c r="P61" s="193" t="s">
        <v>1355</v>
      </c>
      <c r="Q61" s="178">
        <v>3</v>
      </c>
      <c r="R61" s="190" t="s">
        <v>1356</v>
      </c>
      <c r="S61" s="191" t="s">
        <v>1357</v>
      </c>
      <c r="T61" s="178">
        <v>3</v>
      </c>
      <c r="U61" s="190" t="s">
        <v>1358</v>
      </c>
      <c r="V61" s="191" t="s">
        <v>1359</v>
      </c>
      <c r="W61" s="178">
        <v>11</v>
      </c>
      <c r="X61" s="190" t="s">
        <v>1360</v>
      </c>
      <c r="Y61" s="191" t="s">
        <v>1361</v>
      </c>
      <c r="AA61" s="190" t="s">
        <v>961</v>
      </c>
      <c r="AB61" s="191" t="s">
        <v>1362</v>
      </c>
      <c r="AC61" s="178">
        <v>19</v>
      </c>
      <c r="AD61" s="178" t="s">
        <v>1115</v>
      </c>
      <c r="AE61" s="189" t="s">
        <v>1363</v>
      </c>
      <c r="AG61" s="192" t="s">
        <v>1364</v>
      </c>
      <c r="AH61" s="193" t="s">
        <v>1365</v>
      </c>
      <c r="AI61" s="178">
        <v>14</v>
      </c>
      <c r="AJ61" s="190" t="s">
        <v>1366</v>
      </c>
      <c r="AK61" s="191" t="s">
        <v>1367</v>
      </c>
      <c r="AL61" s="178">
        <v>3</v>
      </c>
      <c r="AM61" s="190" t="s">
        <v>4626</v>
      </c>
      <c r="AN61" s="191" t="s">
        <v>4566</v>
      </c>
      <c r="BC61" s="209"/>
      <c r="BH61" s="178" t="s">
        <v>4452</v>
      </c>
      <c r="BI61" s="178">
        <v>51</v>
      </c>
      <c r="BJ61" s="178" cm="1">
        <f t="array" ref="BJ61">_xlfn.IFS($AI$8=20,56,$AI$8&gt;=15,55,$AI$8&gt;=7,54,$AI$8&gt;=3,53,1,0)</f>
        <v>0</v>
      </c>
      <c r="BL61" s="194">
        <f>IFERROR(IF(BL60+1&gt;BQ2,IF(BL60+1&gt;BQ2,IF(BP3+BP60&gt;BQ3,"",BP3+BP60)),BL60+1),"")</f>
        <v>56</v>
      </c>
      <c r="BM61" s="194" t="str" cm="1">
        <f t="array" ref="BM61">IFERROR(INDEX(B31:BC180,BL61,BN2),"")</f>
        <v/>
      </c>
      <c r="BN61" s="194" t="str" cm="1">
        <f t="array" ref="BN61">IFERROR(INDEX(B31:BC180,BL61,BO2),"")</f>
        <v/>
      </c>
      <c r="BO61" s="194" t="str" cm="1">
        <f t="array" ref="BO61">IF(IFERROR(INDEX($B$31:$BC$180,BL61,$BM$2),"")=0,"",IFERROR(INDEX($B$31:$BC$180,BL61,$BM$2),""))</f>
        <v/>
      </c>
      <c r="BP61" s="194">
        <f>IFERROR(IF(BL60+1&gt;BQ2,BP60+1,0),"")</f>
        <v>0</v>
      </c>
      <c r="BR61" s="223" t="str">
        <f t="shared" si="6"/>
        <v/>
      </c>
      <c r="BS61" s="224" t="str" cm="1">
        <f t="array" ref="BS61">INDEX(BR:BR,SMALL(IF($BR$2:$BR$101&lt;&gt;"",ROW($BR$2:$BR$101),142),ROW(BR60)))&amp;""</f>
        <v/>
      </c>
    </row>
    <row r="62" spans="1:74" ht="16.2" customHeight="1" thickTop="1" x14ac:dyDescent="0.25">
      <c r="A62" s="178">
        <v>32</v>
      </c>
      <c r="B62" s="187">
        <v>3</v>
      </c>
      <c r="C62" s="178" t="s">
        <v>1368</v>
      </c>
      <c r="D62" s="189" t="s">
        <v>1369</v>
      </c>
      <c r="E62" s="178">
        <v>14</v>
      </c>
      <c r="F62" s="178" t="s">
        <v>1370</v>
      </c>
      <c r="G62" s="189" t="s">
        <v>1371</v>
      </c>
      <c r="H62" s="178">
        <v>3</v>
      </c>
      <c r="I62" s="178" t="s">
        <v>1372</v>
      </c>
      <c r="J62" s="189" t="s">
        <v>1373</v>
      </c>
      <c r="K62" s="178">
        <v>6</v>
      </c>
      <c r="L62" s="190" t="s">
        <v>1374</v>
      </c>
      <c r="M62" s="191" t="s">
        <v>1375</v>
      </c>
      <c r="O62" s="192" t="s">
        <v>1376</v>
      </c>
      <c r="P62" s="193" t="s">
        <v>1377</v>
      </c>
      <c r="Q62" s="178">
        <v>6</v>
      </c>
      <c r="R62" s="190" t="s">
        <v>1378</v>
      </c>
      <c r="S62" s="191" t="s">
        <v>1379</v>
      </c>
      <c r="T62" s="178">
        <v>7</v>
      </c>
      <c r="U62" s="190" t="s">
        <v>1380</v>
      </c>
      <c r="V62" s="191" t="s">
        <v>1381</v>
      </c>
      <c r="W62" s="178">
        <v>15</v>
      </c>
      <c r="X62" s="190" t="s">
        <v>1382</v>
      </c>
      <c r="Y62" s="191" t="s">
        <v>1383</v>
      </c>
      <c r="Z62" s="178">
        <v>3</v>
      </c>
      <c r="AA62" s="190" t="s">
        <v>1384</v>
      </c>
      <c r="AB62" s="191" t="s">
        <v>1385</v>
      </c>
      <c r="AC62" s="178">
        <v>20</v>
      </c>
      <c r="AD62" s="178" t="s">
        <v>1386</v>
      </c>
      <c r="AE62" s="189" t="s">
        <v>1387</v>
      </c>
      <c r="AG62" s="192" t="s">
        <v>1388</v>
      </c>
      <c r="AH62" s="193" t="s">
        <v>1389</v>
      </c>
      <c r="AI62" s="178">
        <v>3</v>
      </c>
      <c r="AJ62" s="178" t="s">
        <v>1390</v>
      </c>
      <c r="AK62" s="189" t="s">
        <v>1391</v>
      </c>
      <c r="AL62" s="178">
        <v>3</v>
      </c>
      <c r="AM62" s="190" t="s">
        <v>4625</v>
      </c>
      <c r="AN62" s="191" t="s">
        <v>4567</v>
      </c>
      <c r="BC62" s="209"/>
      <c r="BH62" s="222" t="s">
        <v>787</v>
      </c>
      <c r="BI62" s="222">
        <v>29</v>
      </c>
      <c r="BJ62" s="222" cm="1">
        <f t="array" ref="BJ62">_xlfn.IFS($AI$9&gt;=15,32,$AI$9&gt;=11,31,$AI$9&gt;=7,30,$AI$9&gt;=3,29,1,0)</f>
        <v>0</v>
      </c>
      <c r="BL62" s="194">
        <f>IFERROR(IF(BL61+1&gt;BQ2,IF(BL61+1&gt;BQ2,IF(BP3+BP61&gt;BQ3,"",BP3+BP61)),BL61+1),"")</f>
        <v>57</v>
      </c>
      <c r="BM62" s="194" t="str" cm="1">
        <f t="array" ref="BM62">IFERROR(INDEX(B31:BC180,BL62,BN2),"")</f>
        <v/>
      </c>
      <c r="BN62" s="194" t="str" cm="1">
        <f t="array" ref="BN62">IFERROR(INDEX(B31:BC180,BL62,BO2),"")</f>
        <v/>
      </c>
      <c r="BO62" s="194" t="str" cm="1">
        <f t="array" ref="BO62">IF(IFERROR(INDEX($B$31:$BC$180,BL62,$BM$2),"")=0,"",IFERROR(INDEX($B$31:$BC$180,BL62,$BM$2),""))</f>
        <v/>
      </c>
      <c r="BP62" s="194">
        <f>IFERROR(IF(BL61+1&gt;BQ2,BP61+1,0),"")</f>
        <v>0</v>
      </c>
      <c r="BR62" s="223" t="str">
        <f t="shared" si="6"/>
        <v/>
      </c>
      <c r="BS62" s="224" t="str" cm="1">
        <f t="array" ref="BS62">INDEX(BR:BR,SMALL(IF($BR$2:$BR$101&lt;&gt;"",ROW($BR$2:$BR$101),142),ROW(BR61)))&amp;""</f>
        <v/>
      </c>
    </row>
    <row r="63" spans="1:74" ht="16.2" customHeight="1" x14ac:dyDescent="0.25">
      <c r="A63" s="178">
        <v>33</v>
      </c>
      <c r="B63" s="187">
        <v>6</v>
      </c>
      <c r="C63" s="178" t="s">
        <v>1392</v>
      </c>
      <c r="D63" s="189" t="s">
        <v>1393</v>
      </c>
      <c r="E63" s="178">
        <v>3</v>
      </c>
      <c r="F63" s="190" t="s">
        <v>1394</v>
      </c>
      <c r="G63" s="191" t="s">
        <v>1395</v>
      </c>
      <c r="H63" s="178">
        <v>3</v>
      </c>
      <c r="I63" s="178" t="s">
        <v>1396</v>
      </c>
      <c r="J63" s="189" t="s">
        <v>1397</v>
      </c>
      <c r="K63" s="178">
        <v>10</v>
      </c>
      <c r="L63" s="190" t="s">
        <v>1398</v>
      </c>
      <c r="M63" s="191" t="s">
        <v>1399</v>
      </c>
      <c r="O63" s="192" t="s">
        <v>1400</v>
      </c>
      <c r="P63" s="193" t="s">
        <v>1401</v>
      </c>
      <c r="Q63" s="178">
        <v>11</v>
      </c>
      <c r="R63" s="190" t="s">
        <v>1402</v>
      </c>
      <c r="S63" s="191" t="s">
        <v>1403</v>
      </c>
      <c r="T63" s="178">
        <v>15</v>
      </c>
      <c r="U63" s="190" t="s">
        <v>1404</v>
      </c>
      <c r="V63" s="191" t="s">
        <v>1405</v>
      </c>
      <c r="W63" s="178">
        <v>3</v>
      </c>
      <c r="X63" s="178" t="s">
        <v>1406</v>
      </c>
      <c r="Y63" s="189" t="s">
        <v>1407</v>
      </c>
      <c r="Z63" s="178">
        <v>9</v>
      </c>
      <c r="AA63" s="190" t="s">
        <v>1408</v>
      </c>
      <c r="AB63" s="191" t="s">
        <v>1409</v>
      </c>
      <c r="AC63" s="178">
        <v>3</v>
      </c>
      <c r="AD63" s="190" t="s">
        <v>1410</v>
      </c>
      <c r="AE63" s="191" t="s">
        <v>1411</v>
      </c>
      <c r="AG63" s="192" t="s">
        <v>1412</v>
      </c>
      <c r="AH63" s="193" t="s">
        <v>1413</v>
      </c>
      <c r="AI63" s="178">
        <v>3</v>
      </c>
      <c r="AJ63" s="178" t="s">
        <v>1414</v>
      </c>
      <c r="AK63" s="189" t="s">
        <v>1415</v>
      </c>
      <c r="AL63" s="178">
        <v>3</v>
      </c>
      <c r="AM63" s="190" t="s">
        <v>4562</v>
      </c>
      <c r="AN63" s="191" t="s">
        <v>4568</v>
      </c>
      <c r="BC63" s="209"/>
      <c r="BH63" s="178" t="s">
        <v>788</v>
      </c>
      <c r="BI63" s="178">
        <v>33</v>
      </c>
      <c r="BJ63" s="178" cm="1">
        <f t="array" ref="BJ63">_xlfn.IFS($AI$9&gt;=15,38,$AI$9&gt;=11,37,$AI$9&gt;=7,36,$AI$9&gt;=3,35,1,0)</f>
        <v>0</v>
      </c>
      <c r="BL63" s="194">
        <f>IFERROR(IF(BL62+1&gt;BQ2,IF(BL62+1&gt;BQ2,IF(BP3+BP62&gt;BQ3,"",BP3+BP62)),BL62+1),"")</f>
        <v>58</v>
      </c>
      <c r="BM63" s="194" t="str" cm="1">
        <f t="array" ref="BM63">IFERROR(INDEX(B31:BC180,BL63,BN2),"")</f>
        <v/>
      </c>
      <c r="BN63" s="194" t="str" cm="1">
        <f t="array" ref="BN63">IFERROR(INDEX(B31:BC180,BL63,BO2),"")</f>
        <v/>
      </c>
      <c r="BO63" s="194" t="str" cm="1">
        <f t="array" ref="BO63">IF(IFERROR(INDEX($B$31:$BC$180,BL63,$BM$2),"")=0,"",IFERROR(INDEX($B$31:$BC$180,BL63,$BM$2),""))</f>
        <v/>
      </c>
      <c r="BP63" s="194">
        <f>IFERROR(IF(BL62+1&gt;BQ2,BP62+1,0),"")</f>
        <v>0</v>
      </c>
      <c r="BR63" s="223" t="str">
        <f t="shared" si="6"/>
        <v/>
      </c>
      <c r="BS63" s="224" t="str" cm="1">
        <f t="array" ref="BS63">INDEX(BR:BR,SMALL(IF($BR$2:$BR$101&lt;&gt;"",ROW($BR$2:$BR$101),142),ROW(BR62)))&amp;""</f>
        <v/>
      </c>
    </row>
    <row r="64" spans="1:74" ht="16.2" customHeight="1" x14ac:dyDescent="0.25">
      <c r="A64" s="178">
        <v>34</v>
      </c>
      <c r="B64" s="187">
        <v>10</v>
      </c>
      <c r="C64" s="178" t="s">
        <v>1416</v>
      </c>
      <c r="D64" s="189" t="s">
        <v>1417</v>
      </c>
      <c r="E64" s="178">
        <v>3</v>
      </c>
      <c r="F64" s="190" t="s">
        <v>1418</v>
      </c>
      <c r="G64" s="191" t="s">
        <v>1419</v>
      </c>
      <c r="H64" s="178">
        <v>6</v>
      </c>
      <c r="I64" s="178" t="s">
        <v>1420</v>
      </c>
      <c r="J64" s="189" t="s">
        <v>1421</v>
      </c>
      <c r="K64" s="178">
        <v>14</v>
      </c>
      <c r="L64" s="190" t="s">
        <v>1422</v>
      </c>
      <c r="M64" s="191" t="s">
        <v>1423</v>
      </c>
      <c r="O64" s="192" t="s">
        <v>1424</v>
      </c>
      <c r="P64" s="193" t="s">
        <v>1425</v>
      </c>
      <c r="Q64" s="178">
        <v>17</v>
      </c>
      <c r="R64" s="190" t="s">
        <v>1426</v>
      </c>
      <c r="S64" s="191" t="s">
        <v>1427</v>
      </c>
      <c r="T64" s="178">
        <v>20</v>
      </c>
      <c r="U64" s="190" t="s">
        <v>1428</v>
      </c>
      <c r="V64" s="191" t="s">
        <v>1429</v>
      </c>
      <c r="W64" s="178">
        <v>3</v>
      </c>
      <c r="X64" s="178" t="s">
        <v>1430</v>
      </c>
      <c r="Y64" s="189" t="s">
        <v>1431</v>
      </c>
      <c r="Z64" s="178">
        <v>13</v>
      </c>
      <c r="AA64" s="190" t="s">
        <v>1432</v>
      </c>
      <c r="AB64" s="191" t="s">
        <v>1433</v>
      </c>
      <c r="AC64" s="178">
        <v>3</v>
      </c>
      <c r="AD64" s="190" t="s">
        <v>1434</v>
      </c>
      <c r="AE64" s="191" t="s">
        <v>1435</v>
      </c>
      <c r="AG64" s="192" t="s">
        <v>1436</v>
      </c>
      <c r="AH64" s="193" t="s">
        <v>1437</v>
      </c>
      <c r="AI64" s="178">
        <v>6</v>
      </c>
      <c r="AJ64" s="178" t="s">
        <v>1438</v>
      </c>
      <c r="AK64" s="189" t="s">
        <v>1439</v>
      </c>
      <c r="AL64" s="178">
        <v>5</v>
      </c>
      <c r="AM64" s="190" t="s">
        <v>4563</v>
      </c>
      <c r="AN64" s="191" t="s">
        <v>4569</v>
      </c>
      <c r="BC64" s="209"/>
      <c r="BH64" s="178" t="s">
        <v>789</v>
      </c>
      <c r="BI64" s="178">
        <v>39</v>
      </c>
      <c r="BJ64" s="178" cm="1">
        <f t="array" ref="BJ64">_xlfn.IFS($AI$9&gt;=15,44,$AI$9&gt;=11,43,$AI$9&gt;=7,42,$AI$9&gt;=3,41,1,0)</f>
        <v>0</v>
      </c>
      <c r="BL64" s="194">
        <f>IFERROR(IF(BL63+1&gt;BQ2,IF(BL63+1&gt;BQ2,IF(BP3+BP63&gt;BQ3,"",BP3+BP63)),BL63+1),"")</f>
        <v>59</v>
      </c>
      <c r="BM64" s="194" t="str" cm="1">
        <f t="array" ref="BM64">IFERROR(INDEX(B31:BC180,BL64,BN2),"")</f>
        <v/>
      </c>
      <c r="BN64" s="194" t="str" cm="1">
        <f t="array" ref="BN64">IFERROR(INDEX(B31:BC180,BL64,BO2),"")</f>
        <v/>
      </c>
      <c r="BO64" s="194" t="str" cm="1">
        <f t="array" ref="BO64">IF(IFERROR(INDEX($B$31:$BC$180,BL64,$BM$2),"")=0,"",IFERROR(INDEX($B$31:$BC$180,BL64,$BM$2),""))</f>
        <v/>
      </c>
      <c r="BP64" s="194">
        <f>IFERROR(IF(BL63+1&gt;BQ2,BP63+1,0),"")</f>
        <v>0</v>
      </c>
      <c r="BR64" s="223" t="str">
        <f t="shared" si="6"/>
        <v/>
      </c>
      <c r="BS64" s="224" t="str" cm="1">
        <f t="array" ref="BS64">INDEX(BR:BR,SMALL(IF($BR$2:$BR$101&lt;&gt;"",ROW($BR$2:$BR$101),142),ROW(BR63)))&amp;""</f>
        <v/>
      </c>
    </row>
    <row r="65" spans="1:71" ht="16.2" customHeight="1" x14ac:dyDescent="0.25">
      <c r="A65" s="178">
        <v>35</v>
      </c>
      <c r="B65" s="187">
        <v>14</v>
      </c>
      <c r="C65" s="178" t="s">
        <v>1440</v>
      </c>
      <c r="D65" s="189" t="s">
        <v>1441</v>
      </c>
      <c r="E65" s="178">
        <v>6</v>
      </c>
      <c r="F65" s="190" t="s">
        <v>1442</v>
      </c>
      <c r="G65" s="191" t="s">
        <v>1443</v>
      </c>
      <c r="H65" s="178">
        <v>17</v>
      </c>
      <c r="I65" s="178" t="s">
        <v>1444</v>
      </c>
      <c r="J65" s="189" t="s">
        <v>1445</v>
      </c>
      <c r="K65" s="178">
        <v>3</v>
      </c>
      <c r="L65" s="178" t="s">
        <v>1446</v>
      </c>
      <c r="M65" s="189" t="s">
        <v>1447</v>
      </c>
      <c r="O65" s="192" t="s">
        <v>1448</v>
      </c>
      <c r="P65" s="193" t="s">
        <v>1449</v>
      </c>
      <c r="Q65" s="178">
        <v>3</v>
      </c>
      <c r="R65" s="178" t="s">
        <v>1450</v>
      </c>
      <c r="S65" s="189" t="s">
        <v>1451</v>
      </c>
      <c r="T65" s="178">
        <v>3</v>
      </c>
      <c r="U65" s="178" t="s">
        <v>1452</v>
      </c>
      <c r="V65" s="189" t="s">
        <v>1453</v>
      </c>
      <c r="W65" s="178">
        <v>3</v>
      </c>
      <c r="X65" s="178" t="s">
        <v>1454</v>
      </c>
      <c r="Y65" s="189" t="s">
        <v>1455</v>
      </c>
      <c r="Z65" s="178">
        <v>17</v>
      </c>
      <c r="AA65" s="190" t="s">
        <v>1456</v>
      </c>
      <c r="AB65" s="191" t="s">
        <v>1457</v>
      </c>
      <c r="AC65" s="178">
        <v>6</v>
      </c>
      <c r="AD65" s="190" t="s">
        <v>1458</v>
      </c>
      <c r="AE65" s="191" t="s">
        <v>1459</v>
      </c>
      <c r="AG65" s="192" t="s">
        <v>1460</v>
      </c>
      <c r="AH65" s="193" t="s">
        <v>1461</v>
      </c>
      <c r="AI65" s="178">
        <v>10</v>
      </c>
      <c r="AJ65" s="178" t="s">
        <v>1462</v>
      </c>
      <c r="AK65" s="189" t="s">
        <v>1463</v>
      </c>
      <c r="AL65" s="178">
        <v>9</v>
      </c>
      <c r="AM65" s="190" t="s">
        <v>4564</v>
      </c>
      <c r="AN65" s="191" t="s">
        <v>4570</v>
      </c>
      <c r="BC65" s="209"/>
      <c r="BH65" s="178" t="s">
        <v>790</v>
      </c>
      <c r="BI65" s="178">
        <v>45</v>
      </c>
      <c r="BJ65" s="178" cm="1">
        <f t="array" ref="BJ65">_xlfn.IFS($AI$9&gt;=15,49,$AI$9&gt;=11,48,$AI$9&gt;=7,47,$AI$9&gt;=3,46,1,0)</f>
        <v>0</v>
      </c>
      <c r="BL65" s="194">
        <f>IFERROR(IF(BL64+1&gt;BQ2,IF(BL64+1&gt;BQ2,IF(BP3+BP64&gt;BQ3,"",BP3+BP64)),BL64+1),"")</f>
        <v>60</v>
      </c>
      <c r="BM65" s="194" t="str" cm="1">
        <f t="array" ref="BM65">IFERROR(INDEX(B31:BC180,BL65,BN2),"")</f>
        <v/>
      </c>
      <c r="BN65" s="194" t="str" cm="1">
        <f t="array" ref="BN65">IFERROR(INDEX(B31:BC180,BL65,BO2),"")</f>
        <v/>
      </c>
      <c r="BO65" s="194" t="str" cm="1">
        <f t="array" ref="BO65">IF(IFERROR(INDEX($B$31:$BC$180,BL65,$BM$2),"")=0,"",IFERROR(INDEX($B$31:$BC$180,BL65,$BM$2),""))</f>
        <v/>
      </c>
      <c r="BP65" s="194">
        <f>IFERROR(IF(BL64+1&gt;BQ2,BP64+1,0),"")</f>
        <v>0</v>
      </c>
      <c r="BR65" s="223" t="str">
        <f t="shared" si="6"/>
        <v/>
      </c>
      <c r="BS65" s="224" t="str" cm="1">
        <f t="array" ref="BS65">INDEX(BR:BR,SMALL(IF($BR$2:$BR$101&lt;&gt;"",ROW($BR$2:$BR$101),142),ROW(BR64)))&amp;""</f>
        <v/>
      </c>
    </row>
    <row r="66" spans="1:71" ht="16.2" customHeight="1" thickBot="1" x14ac:dyDescent="0.3">
      <c r="A66" s="178">
        <v>36</v>
      </c>
      <c r="B66" s="187">
        <v>3</v>
      </c>
      <c r="C66" s="190" t="s">
        <v>1464</v>
      </c>
      <c r="D66" s="191" t="s">
        <v>1465</v>
      </c>
      <c r="E66" s="178">
        <v>14</v>
      </c>
      <c r="F66" s="190" t="s">
        <v>1466</v>
      </c>
      <c r="G66" s="191" t="s">
        <v>1467</v>
      </c>
      <c r="H66" s="178">
        <v>3</v>
      </c>
      <c r="I66" s="190" t="s">
        <v>1468</v>
      </c>
      <c r="J66" s="191" t="s">
        <v>1469</v>
      </c>
      <c r="K66" s="178">
        <v>3</v>
      </c>
      <c r="L66" s="178" t="s">
        <v>1470</v>
      </c>
      <c r="M66" s="189" t="s">
        <v>1471</v>
      </c>
      <c r="O66" s="192" t="s">
        <v>1472</v>
      </c>
      <c r="P66" s="193" t="s">
        <v>1473</v>
      </c>
      <c r="Q66" s="178">
        <v>6</v>
      </c>
      <c r="R66" s="178" t="s">
        <v>1474</v>
      </c>
      <c r="S66" s="189" t="s">
        <v>1475</v>
      </c>
      <c r="T66" s="178">
        <v>3</v>
      </c>
      <c r="U66" s="178" t="s">
        <v>1476</v>
      </c>
      <c r="V66" s="189" t="s">
        <v>1477</v>
      </c>
      <c r="W66" s="178">
        <v>7</v>
      </c>
      <c r="X66" s="178" t="s">
        <v>1478</v>
      </c>
      <c r="Y66" s="189" t="s">
        <v>1479</v>
      </c>
      <c r="Z66" s="178">
        <v>3</v>
      </c>
      <c r="AA66" s="178" t="s">
        <v>1480</v>
      </c>
      <c r="AB66" s="189" t="s">
        <v>1481</v>
      </c>
      <c r="AC66" s="178">
        <v>6</v>
      </c>
      <c r="AD66" s="190" t="s">
        <v>1482</v>
      </c>
      <c r="AE66" s="191" t="s">
        <v>1483</v>
      </c>
      <c r="AF66" s="178">
        <v>1</v>
      </c>
      <c r="AG66" s="178" t="s">
        <v>1484</v>
      </c>
      <c r="AH66" s="189" t="s">
        <v>1485</v>
      </c>
      <c r="AI66" s="178">
        <v>14</v>
      </c>
      <c r="AJ66" s="178" t="s">
        <v>1486</v>
      </c>
      <c r="AK66" s="189" t="s">
        <v>1487</v>
      </c>
      <c r="AL66" s="178">
        <v>15</v>
      </c>
      <c r="AM66" s="190" t="s">
        <v>4565</v>
      </c>
      <c r="AN66" s="191" t="s">
        <v>4571</v>
      </c>
      <c r="BC66" s="209"/>
      <c r="BH66" s="178" t="s">
        <v>4465</v>
      </c>
      <c r="BI66" s="178">
        <v>50</v>
      </c>
      <c r="BJ66" s="178" cm="1">
        <f t="array" ref="BJ66">_xlfn.IFS($AI$9&gt;=15,55,$AI$9&gt;=11,54,$AI$9&gt;=7,53,$AI$9&gt;=3,52,1,0)</f>
        <v>0</v>
      </c>
      <c r="BL66" s="194">
        <f>IFERROR(IF(BL65+1&gt;BQ2,IF(BL65+1&gt;BQ2,IF(BP3+BP65&gt;BQ3,"",BP3+BP65)),BL65+1),"")</f>
        <v>61</v>
      </c>
      <c r="BM66" s="194" t="str" cm="1">
        <f t="array" ref="BM66">IFERROR(INDEX(B31:BC180,BL66,BN2),"")</f>
        <v/>
      </c>
      <c r="BN66" s="194" t="str" cm="1">
        <f t="array" ref="BN66">IFERROR(INDEX(B31:BC180,BL66,BO2),"")</f>
        <v/>
      </c>
      <c r="BO66" s="194" t="str" cm="1">
        <f t="array" ref="BO66">IF(IFERROR(INDEX($B$31:$BC$180,BL66,$BM$2),"")=0,"",IFERROR(INDEX($B$31:$BC$180,BL66,$BM$2),""))</f>
        <v/>
      </c>
      <c r="BP66" s="194">
        <f>IFERROR(IF(BL65+1&gt;BQ2,BP65+1,0),"")</f>
        <v>0</v>
      </c>
      <c r="BR66" s="223" t="str">
        <f t="shared" ref="BR66:BR97" si="9">IFERROR(IF(OR(BM70="",COUNTIF($BU$2:$BU$58,BM70)),"",BM70),"")</f>
        <v/>
      </c>
      <c r="BS66" s="224" t="str" cm="1">
        <f t="array" ref="BS66">INDEX(BR:BR,SMALL(IF($BR$2:$BR$101&lt;&gt;"",ROW($BR$2:$BR$101),142),ROW(BR65)))&amp;""</f>
        <v/>
      </c>
    </row>
    <row r="67" spans="1:71" ht="16.2" customHeight="1" thickTop="1" x14ac:dyDescent="0.25">
      <c r="A67" s="178">
        <v>37</v>
      </c>
      <c r="B67" s="187">
        <v>6</v>
      </c>
      <c r="C67" s="190" t="s">
        <v>1488</v>
      </c>
      <c r="D67" s="191" t="s">
        <v>1489</v>
      </c>
      <c r="E67" s="178">
        <v>3</v>
      </c>
      <c r="F67" s="178" t="s">
        <v>1490</v>
      </c>
      <c r="G67" s="189" t="s">
        <v>1491</v>
      </c>
      <c r="H67" s="178">
        <v>3</v>
      </c>
      <c r="I67" s="190" t="s">
        <v>1492</v>
      </c>
      <c r="J67" s="191" t="s">
        <v>1493</v>
      </c>
      <c r="K67" s="178">
        <v>6</v>
      </c>
      <c r="L67" s="178" t="s">
        <v>1494</v>
      </c>
      <c r="M67" s="189" t="s">
        <v>1495</v>
      </c>
      <c r="O67" s="192" t="s">
        <v>1496</v>
      </c>
      <c r="P67" s="193" t="s">
        <v>1497</v>
      </c>
      <c r="Q67" s="178">
        <v>11</v>
      </c>
      <c r="R67" s="178" t="s">
        <v>1498</v>
      </c>
      <c r="S67" s="189" t="s">
        <v>1499</v>
      </c>
      <c r="T67" s="178">
        <v>3</v>
      </c>
      <c r="U67" s="178" t="s">
        <v>1500</v>
      </c>
      <c r="V67" s="189" t="s">
        <v>1501</v>
      </c>
      <c r="W67" s="178">
        <v>11</v>
      </c>
      <c r="X67" s="178" t="s">
        <v>1502</v>
      </c>
      <c r="Y67" s="189" t="s">
        <v>1503</v>
      </c>
      <c r="Z67" s="178">
        <v>3</v>
      </c>
      <c r="AA67" s="178" t="s">
        <v>1504</v>
      </c>
      <c r="AB67" s="189" t="s">
        <v>1505</v>
      </c>
      <c r="AC67" s="178">
        <v>14</v>
      </c>
      <c r="AD67" s="190" t="s">
        <v>1506</v>
      </c>
      <c r="AE67" s="191" t="s">
        <v>1507</v>
      </c>
      <c r="AG67" s="178" t="s">
        <v>225</v>
      </c>
      <c r="AH67" s="189" t="s">
        <v>1508</v>
      </c>
      <c r="AI67" s="178">
        <v>3</v>
      </c>
      <c r="AJ67" s="190" t="s">
        <v>1509</v>
      </c>
      <c r="AK67" s="191" t="s">
        <v>1510</v>
      </c>
      <c r="AL67" s="178">
        <v>3</v>
      </c>
      <c r="AM67" s="178" t="s">
        <v>4624</v>
      </c>
      <c r="AN67" s="189" t="s">
        <v>4579</v>
      </c>
      <c r="BC67" s="209"/>
      <c r="BH67" s="222" t="s">
        <v>776</v>
      </c>
      <c r="BI67" s="222">
        <v>25</v>
      </c>
      <c r="BJ67" s="222" cm="1">
        <f t="array" ref="BJ67">_xlfn.IFS($AI$10&gt;=17,35,$AI$10&gt;=13,34,$AI$10&gt;=9,33,$AI$10&gt;=3,32,1,0)</f>
        <v>0</v>
      </c>
      <c r="BL67" s="194">
        <f>IFERROR(IF(BL66+1&gt;BQ2,IF(BL66+1&gt;BQ2,IF(BP3+BP66&gt;BQ3,"",BP3+BP66)),BL66+1),"")</f>
        <v>62</v>
      </c>
      <c r="BM67" s="194" t="str" cm="1">
        <f t="array" ref="BM67">IFERROR(INDEX(B31:BC180,BL67,BN2),"")</f>
        <v/>
      </c>
      <c r="BN67" s="194" t="str" cm="1">
        <f t="array" ref="BN67">IFERROR(INDEX(B31:BC180,BL67,BO2),"")</f>
        <v/>
      </c>
      <c r="BO67" s="194" t="str" cm="1">
        <f t="array" ref="BO67">IF(IFERROR(INDEX($B$31:$BC$180,BL67,$BM$2),"")=0,"",IFERROR(INDEX($B$31:$BC$180,BL67,$BM$2),""))</f>
        <v/>
      </c>
      <c r="BP67" s="194">
        <f>IFERROR(IF(BL66+1&gt;BQ2,BP66+1,0),"")</f>
        <v>0</v>
      </c>
      <c r="BR67" s="223" t="str">
        <f t="shared" si="9"/>
        <v/>
      </c>
      <c r="BS67" s="224" t="str" cm="1">
        <f t="array" ref="BS67">INDEX(BR:BR,SMALL(IF($BR$2:$BR$101&lt;&gt;"",ROW($BR$2:$BR$101),142),ROW(BR66)))&amp;""</f>
        <v/>
      </c>
    </row>
    <row r="68" spans="1:71" ht="16.2" customHeight="1" x14ac:dyDescent="0.25">
      <c r="A68" s="178">
        <v>38</v>
      </c>
      <c r="B68" s="187">
        <v>10</v>
      </c>
      <c r="C68" s="190" t="s">
        <v>1511</v>
      </c>
      <c r="D68" s="191" t="s">
        <v>1512</v>
      </c>
      <c r="E68" s="178">
        <v>3</v>
      </c>
      <c r="F68" s="178" t="s">
        <v>1513</v>
      </c>
      <c r="G68" s="189" t="s">
        <v>1514</v>
      </c>
      <c r="H68" s="178">
        <v>3</v>
      </c>
      <c r="I68" s="190" t="s">
        <v>1515</v>
      </c>
      <c r="J68" s="191" t="s">
        <v>1516</v>
      </c>
      <c r="K68" s="178">
        <v>10</v>
      </c>
      <c r="L68" s="178" t="s">
        <v>1517</v>
      </c>
      <c r="M68" s="189" t="s">
        <v>1518</v>
      </c>
      <c r="O68" s="192" t="s">
        <v>1519</v>
      </c>
      <c r="P68" s="193" t="s">
        <v>1520</v>
      </c>
      <c r="Q68" s="178">
        <v>17</v>
      </c>
      <c r="R68" s="178" t="s">
        <v>1521</v>
      </c>
      <c r="S68" s="189" t="s">
        <v>1522</v>
      </c>
      <c r="T68" s="178">
        <v>7</v>
      </c>
      <c r="U68" s="178" t="s">
        <v>1523</v>
      </c>
      <c r="V68" s="189" t="s">
        <v>1524</v>
      </c>
      <c r="W68" s="178">
        <v>15</v>
      </c>
      <c r="X68" s="178" t="s">
        <v>1525</v>
      </c>
      <c r="Y68" s="189" t="s">
        <v>1526</v>
      </c>
      <c r="Z68" s="178">
        <v>9</v>
      </c>
      <c r="AA68" s="178" t="s">
        <v>1527</v>
      </c>
      <c r="AB68" s="189" t="s">
        <v>1528</v>
      </c>
      <c r="AC68" s="178">
        <v>18</v>
      </c>
      <c r="AD68" s="190" t="s">
        <v>1529</v>
      </c>
      <c r="AE68" s="191" t="s">
        <v>1530</v>
      </c>
      <c r="AG68" s="178" t="s">
        <v>185</v>
      </c>
      <c r="AH68" s="189" t="s">
        <v>1531</v>
      </c>
      <c r="AI68" s="178">
        <v>3</v>
      </c>
      <c r="AJ68" s="190" t="s">
        <v>1532</v>
      </c>
      <c r="AK68" s="191" t="s">
        <v>1533</v>
      </c>
      <c r="AL68" s="178">
        <v>3</v>
      </c>
      <c r="AM68" s="178" t="s">
        <v>4623</v>
      </c>
      <c r="AN68" s="189" t="s">
        <v>4580</v>
      </c>
      <c r="BC68" s="209"/>
      <c r="BH68" s="178" t="s">
        <v>793</v>
      </c>
      <c r="BI68" s="178">
        <v>36</v>
      </c>
      <c r="BJ68" s="178" cm="1">
        <f t="array" ref="BJ68">_xlfn.IFS($AI$10&gt;=17,40,$AI$10&gt;=13,39,$AI$10&gt;=9,38,$AI$10&gt;=3,37,1,0)</f>
        <v>0</v>
      </c>
      <c r="BL68" s="194">
        <f>IFERROR(IF(BL67+1&gt;BQ2,IF(BL67+1&gt;BQ2,IF(BP3+BP67&gt;BQ3,"",BP3+BP67)),BL67+1),"")</f>
        <v>63</v>
      </c>
      <c r="BM68" s="194" t="str" cm="1">
        <f t="array" ref="BM68">IFERROR(INDEX(B31:BC180,BL68,BN2),"")</f>
        <v/>
      </c>
      <c r="BN68" s="194" t="str" cm="1">
        <f t="array" ref="BN68">IFERROR(INDEX(B31:BC180,BL68,BO2),"")</f>
        <v/>
      </c>
      <c r="BO68" s="194" t="str" cm="1">
        <f t="array" ref="BO68">IF(IFERROR(INDEX($B$31:$BC$180,BL68,$BM$2),"")=0,"",IFERROR(INDEX($B$31:$BC$180,BL68,$BM$2),""))</f>
        <v/>
      </c>
      <c r="BP68" s="194">
        <f>IFERROR(IF(BL67+1&gt;BQ2,BP67+1,0),"")</f>
        <v>0</v>
      </c>
      <c r="BR68" s="223" t="str">
        <f t="shared" si="9"/>
        <v/>
      </c>
      <c r="BS68" s="224" t="str" cm="1">
        <f t="array" ref="BS68">INDEX(BR:BR,SMALL(IF($BR$2:$BR$101&lt;&gt;"",ROW($BR$2:$BR$101),142),ROW(BR67)))&amp;""</f>
        <v/>
      </c>
    </row>
    <row r="69" spans="1:71" ht="16.2" customHeight="1" x14ac:dyDescent="0.25">
      <c r="A69" s="178">
        <v>39</v>
      </c>
      <c r="B69" s="187">
        <v>14</v>
      </c>
      <c r="C69" s="190" t="s">
        <v>1534</v>
      </c>
      <c r="D69" s="191" t="s">
        <v>1535</v>
      </c>
      <c r="E69" s="178">
        <v>6</v>
      </c>
      <c r="F69" s="178" t="s">
        <v>991</v>
      </c>
      <c r="G69" s="189" t="s">
        <v>1536</v>
      </c>
      <c r="H69" s="178">
        <v>6</v>
      </c>
      <c r="I69" s="190" t="s">
        <v>1537</v>
      </c>
      <c r="J69" s="191" t="s">
        <v>1538</v>
      </c>
      <c r="K69" s="178">
        <v>14</v>
      </c>
      <c r="L69" s="178" t="s">
        <v>1539</v>
      </c>
      <c r="M69" s="189" t="s">
        <v>1540</v>
      </c>
      <c r="O69" s="192" t="s">
        <v>1541</v>
      </c>
      <c r="P69" s="193" t="s">
        <v>1542</v>
      </c>
      <c r="Q69" s="178">
        <v>3</v>
      </c>
      <c r="R69" s="190" t="s">
        <v>1543</v>
      </c>
      <c r="S69" s="191" t="s">
        <v>1544</v>
      </c>
      <c r="T69" s="178">
        <v>15</v>
      </c>
      <c r="U69" s="178" t="s">
        <v>1545</v>
      </c>
      <c r="V69" s="189" t="s">
        <v>1546</v>
      </c>
      <c r="W69" s="178">
        <v>3</v>
      </c>
      <c r="X69" s="190" t="s">
        <v>1547</v>
      </c>
      <c r="Y69" s="191" t="s">
        <v>1548</v>
      </c>
      <c r="Z69" s="178">
        <v>13</v>
      </c>
      <c r="AA69" s="178" t="s">
        <v>1549</v>
      </c>
      <c r="AB69" s="189" t="s">
        <v>1550</v>
      </c>
      <c r="AC69" s="178">
        <v>3</v>
      </c>
      <c r="AD69" s="178" t="s">
        <v>1551</v>
      </c>
      <c r="AE69" s="189" t="s">
        <v>1552</v>
      </c>
      <c r="AG69" s="178" t="s">
        <v>909</v>
      </c>
      <c r="AH69" s="189" t="s">
        <v>1553</v>
      </c>
      <c r="AI69" s="178">
        <v>6</v>
      </c>
      <c r="AJ69" s="190" t="s">
        <v>1554</v>
      </c>
      <c r="AK69" s="191" t="s">
        <v>1555</v>
      </c>
      <c r="AL69" s="178">
        <v>3</v>
      </c>
      <c r="AM69" s="178" t="s">
        <v>4572</v>
      </c>
      <c r="AN69" s="189" t="s">
        <v>4581</v>
      </c>
      <c r="BC69" s="209"/>
      <c r="BH69" s="178" t="s">
        <v>794</v>
      </c>
      <c r="BI69" s="178">
        <v>41</v>
      </c>
      <c r="BJ69" s="178" cm="1">
        <f t="array" ref="BJ69">_xlfn.IFS($AI$10&gt;=17,45,$AI$10&gt;=13,44,$AI$10&gt;=9,43,$AI$10&gt;=3,42,1,0)</f>
        <v>0</v>
      </c>
      <c r="BL69" s="194">
        <f>IFERROR(IF(BL68+1&gt;BQ2,IF(BL68+1&gt;BQ2,IF(BP3+BP68&gt;BQ3,"",BP3+BP68)),BL68+1),"")</f>
        <v>64</v>
      </c>
      <c r="BM69" s="194" t="str" cm="1">
        <f t="array" ref="BM69">IFERROR(INDEX(B31:BC180,BL69,BN2),"")</f>
        <v/>
      </c>
      <c r="BN69" s="194" t="str" cm="1">
        <f t="array" ref="BN69">IFERROR(INDEX(B31:BC180,BL69,BO2),"")</f>
        <v/>
      </c>
      <c r="BO69" s="194" t="str" cm="1">
        <f t="array" ref="BO69">IF(IFERROR(INDEX($B$31:$BC$180,BL69,$BM$2),"")=0,"",IFERROR(INDEX($B$31:$BC$180,BL69,$BM$2),""))</f>
        <v/>
      </c>
      <c r="BP69" s="194">
        <f>IFERROR(IF(BL68+1&gt;BQ2,BP68+1,0),"")</f>
        <v>0</v>
      </c>
      <c r="BR69" s="223" t="str">
        <f t="shared" si="9"/>
        <v/>
      </c>
      <c r="BS69" s="224" t="str" cm="1">
        <f t="array" ref="BS69">INDEX(BR:BR,SMALL(IF($BR$2:$BR$101&lt;&gt;"",ROW($BR$2:$BR$101),142),ROW(BR68)))&amp;""</f>
        <v/>
      </c>
    </row>
    <row r="70" spans="1:71" ht="16.2" customHeight="1" x14ac:dyDescent="0.25">
      <c r="A70" s="178">
        <v>40</v>
      </c>
      <c r="B70" s="187">
        <v>3</v>
      </c>
      <c r="C70" s="178" t="s">
        <v>1556</v>
      </c>
      <c r="D70" s="189" t="s">
        <v>1557</v>
      </c>
      <c r="E70" s="178">
        <v>14</v>
      </c>
      <c r="F70" s="178" t="s">
        <v>1558</v>
      </c>
      <c r="G70" s="189" t="s">
        <v>1559</v>
      </c>
      <c r="H70" s="178">
        <v>17</v>
      </c>
      <c r="I70" s="190" t="s">
        <v>1560</v>
      </c>
      <c r="J70" s="191" t="s">
        <v>1561</v>
      </c>
      <c r="K70" s="178">
        <v>3</v>
      </c>
      <c r="L70" s="190" t="s">
        <v>1562</v>
      </c>
      <c r="M70" s="191" t="s">
        <v>1563</v>
      </c>
      <c r="O70" s="192" t="s">
        <v>1564</v>
      </c>
      <c r="P70" s="193" t="s">
        <v>1565</v>
      </c>
      <c r="Q70" s="178">
        <v>3</v>
      </c>
      <c r="R70" s="190" t="s">
        <v>1566</v>
      </c>
      <c r="S70" s="191" t="s">
        <v>1567</v>
      </c>
      <c r="T70" s="178">
        <v>20</v>
      </c>
      <c r="U70" s="178" t="s">
        <v>1568</v>
      </c>
      <c r="V70" s="189" t="s">
        <v>1569</v>
      </c>
      <c r="W70" s="178">
        <v>3</v>
      </c>
      <c r="X70" s="190" t="s">
        <v>1570</v>
      </c>
      <c r="Y70" s="191" t="s">
        <v>1571</v>
      </c>
      <c r="Z70" s="178">
        <v>17</v>
      </c>
      <c r="AA70" s="178" t="s">
        <v>1572</v>
      </c>
      <c r="AB70" s="189" t="s">
        <v>1573</v>
      </c>
      <c r="AC70" s="178">
        <v>3</v>
      </c>
      <c r="AD70" s="178" t="s">
        <v>1574</v>
      </c>
      <c r="AE70" s="189" t="s">
        <v>1575</v>
      </c>
      <c r="AG70" s="178" t="s">
        <v>926</v>
      </c>
      <c r="AH70" s="189" t="s">
        <v>1576</v>
      </c>
      <c r="AI70" s="178">
        <v>10</v>
      </c>
      <c r="AJ70" s="190" t="s">
        <v>1577</v>
      </c>
      <c r="AK70" s="191" t="s">
        <v>1578</v>
      </c>
      <c r="AL70" s="178">
        <v>3</v>
      </c>
      <c r="AM70" s="178" t="s">
        <v>4573</v>
      </c>
      <c r="AN70" s="189" t="s">
        <v>4582</v>
      </c>
      <c r="BC70" s="209"/>
      <c r="BH70" s="178" t="s">
        <v>795</v>
      </c>
      <c r="BI70" s="178">
        <v>46</v>
      </c>
      <c r="BJ70" s="178" cm="1">
        <f t="array" ref="BJ70">_xlfn.IFS($AI$10&gt;=17,50,$AI$10&gt;=13,49,$AI$10&gt;=9,48,$AI$10&gt;=3,47,1,0)</f>
        <v>0</v>
      </c>
      <c r="BL70" s="194">
        <f>IFERROR(IF(BL69+1&gt;BQ2,IF(BL69+1&gt;BQ2,IF(BP3+BP69&gt;BQ3,"",BP3+BP69)),BL69+1),"")</f>
        <v>65</v>
      </c>
      <c r="BM70" s="194" t="str" cm="1">
        <f t="array" ref="BM70">IFERROR(INDEX(B31:BC180,BL70,BN2),"")</f>
        <v/>
      </c>
      <c r="BN70" s="194" t="str" cm="1">
        <f t="array" ref="BN70">IFERROR(INDEX(B31:BC180,BL70,BO2),"")</f>
        <v/>
      </c>
      <c r="BO70" s="194" t="str" cm="1">
        <f t="array" ref="BO70">IF(IFERROR(INDEX($B$31:$BC$180,BL70,$BM$2),"")=0,"",IFERROR(INDEX($B$31:$BC$180,BL70,$BM$2),""))</f>
        <v/>
      </c>
      <c r="BP70" s="194">
        <f>IFERROR(IF(BL69+1&gt;BQ2,BP69+1,0),"")</f>
        <v>0</v>
      </c>
      <c r="BR70" s="223" t="str">
        <f t="shared" si="9"/>
        <v/>
      </c>
      <c r="BS70" s="224" t="str" cm="1">
        <f t="array" ref="BS70">INDEX(BR:BR,SMALL(IF($BR$2:$BR$101&lt;&gt;"",ROW($BR$2:$BR$101),142),ROW(BR69)))&amp;""</f>
        <v/>
      </c>
    </row>
    <row r="71" spans="1:71" ht="16.2" customHeight="1" thickBot="1" x14ac:dyDescent="0.3">
      <c r="A71" s="178">
        <v>41</v>
      </c>
      <c r="B71" s="187">
        <v>3</v>
      </c>
      <c r="C71" s="178" t="s">
        <v>1579</v>
      </c>
      <c r="D71" s="189" t="s">
        <v>1580</v>
      </c>
      <c r="E71" s="178">
        <v>3</v>
      </c>
      <c r="F71" s="190" t="s">
        <v>4419</v>
      </c>
      <c r="G71" s="191" t="s">
        <v>4420</v>
      </c>
      <c r="H71" s="178">
        <v>3</v>
      </c>
      <c r="I71" s="178" t="s">
        <v>1581</v>
      </c>
      <c r="J71" s="189" t="s">
        <v>1582</v>
      </c>
      <c r="K71" s="178">
        <v>3</v>
      </c>
      <c r="L71" s="190" t="s">
        <v>1583</v>
      </c>
      <c r="M71" s="191" t="s">
        <v>1584</v>
      </c>
      <c r="O71" s="192" t="s">
        <v>1585</v>
      </c>
      <c r="P71" s="193" t="s">
        <v>1586</v>
      </c>
      <c r="Q71" s="178">
        <v>6</v>
      </c>
      <c r="R71" s="190" t="s">
        <v>1587</v>
      </c>
      <c r="S71" s="191" t="s">
        <v>1588</v>
      </c>
      <c r="T71" s="178">
        <v>3</v>
      </c>
      <c r="U71" s="190" t="s">
        <v>1589</v>
      </c>
      <c r="V71" s="191" t="s">
        <v>1590</v>
      </c>
      <c r="W71" s="178">
        <v>3</v>
      </c>
      <c r="X71" s="190" t="s">
        <v>1591</v>
      </c>
      <c r="Y71" s="191" t="s">
        <v>1592</v>
      </c>
      <c r="Z71" s="178">
        <v>3</v>
      </c>
      <c r="AA71" s="190" t="s">
        <v>1593</v>
      </c>
      <c r="AB71" s="191" t="s">
        <v>1594</v>
      </c>
      <c r="AC71" s="178">
        <v>6</v>
      </c>
      <c r="AD71" s="178" t="s">
        <v>1595</v>
      </c>
      <c r="AE71" s="189" t="s">
        <v>1596</v>
      </c>
      <c r="AG71" s="178" t="s">
        <v>943</v>
      </c>
      <c r="AH71" s="189" t="s">
        <v>1597</v>
      </c>
      <c r="AI71" s="178">
        <v>14</v>
      </c>
      <c r="AJ71" s="190" t="s">
        <v>1598</v>
      </c>
      <c r="AK71" s="191" t="s">
        <v>1599</v>
      </c>
      <c r="AM71" s="178" t="s">
        <v>4574</v>
      </c>
      <c r="AN71" s="189" t="s">
        <v>4583</v>
      </c>
      <c r="BC71" s="209"/>
      <c r="BH71" s="178" t="s">
        <v>4478</v>
      </c>
      <c r="BI71" s="178">
        <v>51</v>
      </c>
      <c r="BJ71" s="178" cm="1">
        <f t="array" ref="BJ71">_xlfn.IFS($AI$10&gt;=17,55,$AI$10&gt;=13,54,$AI$10&gt;=9,53,$AI$10&gt;=3,52,1,0)</f>
        <v>0</v>
      </c>
      <c r="BL71" s="194">
        <f>IFERROR(IF(BL70+1&gt;BQ2,IF(BL70+1&gt;BQ2,IF(BP3+BP70&gt;BQ3,"",BP3+BP70)),BL70+1),"")</f>
        <v>66</v>
      </c>
      <c r="BM71" s="194" t="str" cm="1">
        <f t="array" ref="BM71">IFERROR(INDEX(B31:BC180,BL71,BN2),"")</f>
        <v/>
      </c>
      <c r="BN71" s="194" t="str" cm="1">
        <f t="array" ref="BN71">IFERROR(INDEX(B31:BC180,BL71,BO2),"")</f>
        <v/>
      </c>
      <c r="BO71" s="194" t="str" cm="1">
        <f t="array" ref="BO71">IF(IFERROR(INDEX($B$31:$BC$180,BL71,$BM$2),"")=0,"",IFERROR(INDEX($B$31:$BC$180,BL71,$BM$2),""))</f>
        <v/>
      </c>
      <c r="BP71" s="194">
        <f>IFERROR(IF(BL70+1&gt;BQ2,BP70+1,0),"")</f>
        <v>0</v>
      </c>
      <c r="BR71" s="223" t="str">
        <f t="shared" si="9"/>
        <v/>
      </c>
      <c r="BS71" s="224" t="str" cm="1">
        <f t="array" ref="BS71">INDEX(BR:BR,SMALL(IF($BR$2:$BR$101&lt;&gt;"",ROW($BR$2:$BR$101),142),ROW(BR70)))&amp;""</f>
        <v/>
      </c>
    </row>
    <row r="72" spans="1:71" ht="16.2" customHeight="1" thickTop="1" x14ac:dyDescent="0.25">
      <c r="A72" s="178">
        <v>42</v>
      </c>
      <c r="B72" s="187">
        <v>6</v>
      </c>
      <c r="C72" s="178" t="s">
        <v>1600</v>
      </c>
      <c r="D72" s="189" t="s">
        <v>1601</v>
      </c>
      <c r="E72" s="178">
        <v>3</v>
      </c>
      <c r="F72" s="190" t="s">
        <v>4421</v>
      </c>
      <c r="G72" s="191" t="s">
        <v>4422</v>
      </c>
      <c r="H72" s="178">
        <v>3</v>
      </c>
      <c r="I72" s="178" t="s">
        <v>1602</v>
      </c>
      <c r="J72" s="189" t="s">
        <v>4719</v>
      </c>
      <c r="K72" s="178">
        <v>6</v>
      </c>
      <c r="L72" s="190" t="s">
        <v>1603</v>
      </c>
      <c r="M72" s="191" t="s">
        <v>1604</v>
      </c>
      <c r="O72" s="192" t="s">
        <v>1605</v>
      </c>
      <c r="P72" s="193" t="s">
        <v>1606</v>
      </c>
      <c r="Q72" s="178">
        <v>11</v>
      </c>
      <c r="R72" s="190" t="s">
        <v>1607</v>
      </c>
      <c r="S72" s="191" t="s">
        <v>1608</v>
      </c>
      <c r="T72" s="178">
        <v>3</v>
      </c>
      <c r="U72" s="190" t="s">
        <v>1609</v>
      </c>
      <c r="V72" s="191" t="s">
        <v>1610</v>
      </c>
      <c r="W72" s="178">
        <v>7</v>
      </c>
      <c r="X72" s="190" t="s">
        <v>1611</v>
      </c>
      <c r="Y72" s="191" t="s">
        <v>1612</v>
      </c>
      <c r="Z72" s="178">
        <v>3</v>
      </c>
      <c r="AA72" s="190" t="s">
        <v>1613</v>
      </c>
      <c r="AB72" s="191" t="s">
        <v>1614</v>
      </c>
      <c r="AC72" s="178">
        <v>14</v>
      </c>
      <c r="AD72" s="178" t="s">
        <v>1615</v>
      </c>
      <c r="AE72" s="189" t="s">
        <v>1616</v>
      </c>
      <c r="AG72" s="178" t="s">
        <v>961</v>
      </c>
      <c r="AH72" s="189" t="s">
        <v>1617</v>
      </c>
      <c r="AI72" s="178">
        <v>3</v>
      </c>
      <c r="AJ72" s="178" t="s">
        <v>1618</v>
      </c>
      <c r="AK72" s="189" t="s">
        <v>1619</v>
      </c>
      <c r="AM72" s="178" t="s">
        <v>4575</v>
      </c>
      <c r="AN72" s="189" t="s">
        <v>4584</v>
      </c>
      <c r="BC72" s="209"/>
      <c r="BH72" s="222" t="s">
        <v>798</v>
      </c>
      <c r="BI72" s="222">
        <v>33</v>
      </c>
      <c r="BJ72" s="222" cm="1">
        <f t="array" ref="BJ72">_xlfn.IFS($AI$11&gt;=18,38,$AI$11&gt;=14,37,$AI$11&gt;=6,36,$AI$11&gt;=3,34,1,0)</f>
        <v>0</v>
      </c>
      <c r="BL72" s="194">
        <f>IFERROR(IF(BL71+1&gt;BQ2,IF(BL71+1&gt;BQ2,IF(BP3+BP71&gt;BQ3,"",BP3+BP71)),BL71+1),"")</f>
        <v>67</v>
      </c>
      <c r="BM72" s="194" t="str" cm="1">
        <f t="array" ref="BM72">IFERROR(INDEX(B31:BC180,BL72,BN2),"")</f>
        <v/>
      </c>
      <c r="BN72" s="194" t="str" cm="1">
        <f t="array" ref="BN72">IFERROR(INDEX(B31:BC180,BL72,BO2),"")</f>
        <v/>
      </c>
      <c r="BO72" s="194" t="str" cm="1">
        <f t="array" ref="BO72">IF(IFERROR(INDEX($B$31:$BC$180,BL72,$BM$2),"")=0,"",IFERROR(INDEX($B$31:$BC$180,BL72,$BM$2),""))</f>
        <v/>
      </c>
      <c r="BP72" s="194">
        <f>IFERROR(IF(BL71+1&gt;BQ2,BP71+1,0),"")</f>
        <v>0</v>
      </c>
      <c r="BR72" s="223" t="str">
        <f t="shared" si="9"/>
        <v/>
      </c>
      <c r="BS72" s="224" t="str" cm="1">
        <f t="array" ref="BS72">INDEX(BR:BR,SMALL(IF($BR$2:$BR$101&lt;&gt;"",ROW($BR$2:$BR$101),142),ROW(BR71)))&amp;""</f>
        <v/>
      </c>
    </row>
    <row r="73" spans="1:71" ht="16.2" customHeight="1" x14ac:dyDescent="0.25">
      <c r="A73" s="178">
        <v>43</v>
      </c>
      <c r="B73" s="187">
        <v>10</v>
      </c>
      <c r="C73" s="178" t="s">
        <v>1620</v>
      </c>
      <c r="D73" s="189" t="s">
        <v>1621</v>
      </c>
      <c r="E73" s="178">
        <v>6</v>
      </c>
      <c r="F73" s="190" t="s">
        <v>4423</v>
      </c>
      <c r="G73" s="191" t="s">
        <v>4424</v>
      </c>
      <c r="H73" s="178">
        <v>3</v>
      </c>
      <c r="I73" s="178" t="s">
        <v>1622</v>
      </c>
      <c r="J73" s="189" t="s">
        <v>1623</v>
      </c>
      <c r="K73" s="178">
        <v>10</v>
      </c>
      <c r="L73" s="190" t="s">
        <v>1624</v>
      </c>
      <c r="M73" s="191" t="s">
        <v>1625</v>
      </c>
      <c r="N73" s="178">
        <v>3</v>
      </c>
      <c r="O73" s="190" t="s">
        <v>1626</v>
      </c>
      <c r="P73" s="191" t="s">
        <v>1627</v>
      </c>
      <c r="Q73" s="178">
        <v>17</v>
      </c>
      <c r="R73" s="190" t="s">
        <v>1628</v>
      </c>
      <c r="S73" s="191" t="s">
        <v>1629</v>
      </c>
      <c r="T73" s="178">
        <v>7</v>
      </c>
      <c r="U73" s="190" t="s">
        <v>1630</v>
      </c>
      <c r="V73" s="191" t="s">
        <v>1631</v>
      </c>
      <c r="W73" s="178">
        <v>11</v>
      </c>
      <c r="X73" s="190" t="s">
        <v>1632</v>
      </c>
      <c r="Y73" s="191" t="s">
        <v>1633</v>
      </c>
      <c r="Z73" s="178">
        <v>9</v>
      </c>
      <c r="AA73" s="190" t="s">
        <v>1634</v>
      </c>
      <c r="AB73" s="191" t="s">
        <v>1635</v>
      </c>
      <c r="AC73" s="178">
        <v>18</v>
      </c>
      <c r="AD73" s="178" t="s">
        <v>1636</v>
      </c>
      <c r="AE73" s="189" t="s">
        <v>1637</v>
      </c>
      <c r="AF73" s="178">
        <v>2</v>
      </c>
      <c r="AG73" s="178" t="s">
        <v>1638</v>
      </c>
      <c r="AH73" s="189" t="s">
        <v>1639</v>
      </c>
      <c r="AI73" s="178">
        <v>3</v>
      </c>
      <c r="AJ73" s="178" t="s">
        <v>1640</v>
      </c>
      <c r="AK73" s="189" t="s">
        <v>1641</v>
      </c>
      <c r="AM73" s="178" t="s">
        <v>4576</v>
      </c>
      <c r="AN73" s="189" t="s">
        <v>4585</v>
      </c>
      <c r="BC73" s="209"/>
      <c r="BH73" s="178" t="s">
        <v>799</v>
      </c>
      <c r="BI73" s="178">
        <v>39</v>
      </c>
      <c r="BJ73" s="178" cm="1">
        <f t="array" ref="BJ73">_xlfn.IFS($AI$11&gt;=18,43,$AI$11&gt;=14,42,$AI$11&gt;=6,41,$AI$11&gt;=3,40,1,0)</f>
        <v>0</v>
      </c>
      <c r="BL73" s="194">
        <f>IFERROR(IF(BL72+1&gt;BQ2,IF(BL72+1&gt;BQ2,IF(BP3+BP72&gt;BQ3,"",BP3+BP72)),BL72+1),"")</f>
        <v>68</v>
      </c>
      <c r="BM73" s="194" t="str" cm="1">
        <f t="array" ref="BM73">IFERROR(INDEX(B31:BC180,BL73,BN2),"")</f>
        <v/>
      </c>
      <c r="BN73" s="194" t="str" cm="1">
        <f t="array" ref="BN73">IFERROR(INDEX(B31:BC180,BL73,BO2),"")</f>
        <v/>
      </c>
      <c r="BO73" s="194" t="str" cm="1">
        <f t="array" ref="BO73">IF(IFERROR(INDEX($B$31:$BC$180,BL73,$BM$2),"")=0,"",IFERROR(INDEX($B$31:$BC$180,BL73,$BM$2),""))</f>
        <v/>
      </c>
      <c r="BP73" s="194">
        <f>IFERROR(IF(BL72+1&gt;BQ2,BP72+1,0),"")</f>
        <v>0</v>
      </c>
      <c r="BR73" s="223" t="str">
        <f t="shared" si="9"/>
        <v/>
      </c>
      <c r="BS73" s="224" t="str" cm="1">
        <f t="array" ref="BS73">INDEX(BR:BR,SMALL(IF($BR$2:$BR$101&lt;&gt;"",ROW($BR$2:$BR$101),142),ROW(BR72)))&amp;""</f>
        <v/>
      </c>
    </row>
    <row r="74" spans="1:71" ht="16.2" customHeight="1" x14ac:dyDescent="0.25">
      <c r="A74" s="178">
        <v>44</v>
      </c>
      <c r="B74" s="187">
        <v>14</v>
      </c>
      <c r="C74" s="178" t="s">
        <v>1642</v>
      </c>
      <c r="D74" s="189" t="s">
        <v>1643</v>
      </c>
      <c r="E74" s="178">
        <v>14</v>
      </c>
      <c r="F74" s="190" t="s">
        <v>4425</v>
      </c>
      <c r="G74" s="191" t="s">
        <v>4426</v>
      </c>
      <c r="H74" s="178">
        <v>6</v>
      </c>
      <c r="I74" s="178" t="s">
        <v>1644</v>
      </c>
      <c r="J74" s="189" t="s">
        <v>1645</v>
      </c>
      <c r="K74" s="178">
        <v>14</v>
      </c>
      <c r="L74" s="190" t="s">
        <v>1646</v>
      </c>
      <c r="M74" s="191" t="s">
        <v>1647</v>
      </c>
      <c r="N74" s="178">
        <v>7</v>
      </c>
      <c r="O74" s="190" t="s">
        <v>1648</v>
      </c>
      <c r="P74" s="191" t="s">
        <v>1649</v>
      </c>
      <c r="Q74" s="178">
        <v>3</v>
      </c>
      <c r="R74" s="178" t="s">
        <v>1650</v>
      </c>
      <c r="S74" s="189" t="s">
        <v>1651</v>
      </c>
      <c r="T74" s="178">
        <v>15</v>
      </c>
      <c r="U74" s="190" t="s">
        <v>1652</v>
      </c>
      <c r="V74" s="191" t="s">
        <v>1653</v>
      </c>
      <c r="W74" s="178">
        <v>15</v>
      </c>
      <c r="X74" s="190" t="s">
        <v>1654</v>
      </c>
      <c r="Y74" s="191" t="s">
        <v>1655</v>
      </c>
      <c r="Z74" s="178">
        <v>13</v>
      </c>
      <c r="AA74" s="190" t="s">
        <v>1656</v>
      </c>
      <c r="AB74" s="191" t="s">
        <v>1657</v>
      </c>
      <c r="AC74" s="178">
        <v>3</v>
      </c>
      <c r="AD74" s="190" t="s">
        <v>1658</v>
      </c>
      <c r="AE74" s="191" t="s">
        <v>1659</v>
      </c>
      <c r="AF74" s="178">
        <v>3</v>
      </c>
      <c r="AG74" s="178" t="s">
        <v>1660</v>
      </c>
      <c r="AH74" s="189" t="s">
        <v>1661</v>
      </c>
      <c r="AI74" s="178">
        <v>6</v>
      </c>
      <c r="AJ74" s="178" t="s">
        <v>1662</v>
      </c>
      <c r="AK74" s="189" t="s">
        <v>1663</v>
      </c>
      <c r="AL74" s="178">
        <v>5</v>
      </c>
      <c r="AM74" s="178" t="s">
        <v>991</v>
      </c>
      <c r="AN74" s="189" t="s">
        <v>4586</v>
      </c>
      <c r="BC74" s="209"/>
      <c r="BH74" s="178" t="s">
        <v>800</v>
      </c>
      <c r="BI74" s="178">
        <v>44</v>
      </c>
      <c r="BJ74" s="178" cm="1">
        <f t="array" ref="BJ74">_xlfn.IFS($AI$11&gt;=18,48,$AI$11&gt;=14,47,$AI$11&gt;=6,46,$AI$11&gt;=3,45,1,0)</f>
        <v>0</v>
      </c>
      <c r="BL74" s="194">
        <f>IFERROR(IF(BL73+1&gt;BQ2,IF(BL73+1&gt;BQ2,IF(BP3+BP73&gt;BQ3,"",BP3+BP73)),BL73+1),"")</f>
        <v>69</v>
      </c>
      <c r="BM74" s="194" t="str" cm="1">
        <f t="array" ref="BM74">IFERROR(INDEX(B31:BC180,BL74,BN2),"")</f>
        <v/>
      </c>
      <c r="BN74" s="194" t="str" cm="1">
        <f t="array" ref="BN74">IFERROR(INDEX(B31:BC180,BL74,BO2),"")</f>
        <v/>
      </c>
      <c r="BO74" s="194" t="str" cm="1">
        <f t="array" ref="BO74">IF(IFERROR(INDEX($B$31:$BC$180,BL74,$BM$2),"")=0,"",IFERROR(INDEX($B$31:$BC$180,BL74,$BM$2),""))</f>
        <v/>
      </c>
      <c r="BP74" s="194">
        <f>IFERROR(IF(BL73+1&gt;BQ2,BP73+1,0),"")</f>
        <v>0</v>
      </c>
      <c r="BR74" s="223" t="str">
        <f t="shared" si="9"/>
        <v/>
      </c>
      <c r="BS74" s="224" t="str" cm="1">
        <f t="array" ref="BS74">INDEX(BR:BR,SMALL(IF($BR$2:$BR$101&lt;&gt;"",ROW($BR$2:$BR$101),142),ROW(BR73)))&amp;""</f>
        <v/>
      </c>
    </row>
    <row r="75" spans="1:71" ht="16.2" customHeight="1" x14ac:dyDescent="0.25">
      <c r="A75" s="178">
        <v>45</v>
      </c>
      <c r="B75" s="187"/>
      <c r="H75" s="178">
        <v>17</v>
      </c>
      <c r="I75" s="178" t="s">
        <v>1664</v>
      </c>
      <c r="J75" s="189" t="s">
        <v>1665</v>
      </c>
      <c r="K75" s="178">
        <v>3</v>
      </c>
      <c r="L75" s="178" t="s">
        <v>1666</v>
      </c>
      <c r="M75" s="189" t="s">
        <v>1667</v>
      </c>
      <c r="N75" s="178">
        <v>10</v>
      </c>
      <c r="O75" s="190" t="s">
        <v>1668</v>
      </c>
      <c r="P75" s="191" t="s">
        <v>1669</v>
      </c>
      <c r="Q75" s="178">
        <v>6</v>
      </c>
      <c r="R75" s="178" t="s">
        <v>1670</v>
      </c>
      <c r="S75" s="189" t="s">
        <v>1671</v>
      </c>
      <c r="T75" s="178">
        <v>20</v>
      </c>
      <c r="U75" s="190" t="s">
        <v>1672</v>
      </c>
      <c r="V75" s="191" t="s">
        <v>1673</v>
      </c>
      <c r="W75" s="178">
        <v>3</v>
      </c>
      <c r="X75" s="178" t="s">
        <v>1674</v>
      </c>
      <c r="Y75" s="189" t="s">
        <v>1675</v>
      </c>
      <c r="Z75" s="178">
        <v>17</v>
      </c>
      <c r="AA75" s="190" t="s">
        <v>1676</v>
      </c>
      <c r="AB75" s="191" t="s">
        <v>1677</v>
      </c>
      <c r="AC75" s="178">
        <v>3</v>
      </c>
      <c r="AD75" s="190" t="s">
        <v>1678</v>
      </c>
      <c r="AE75" s="191" t="s">
        <v>1679</v>
      </c>
      <c r="AF75" s="178">
        <v>4</v>
      </c>
      <c r="AG75" s="178" t="s">
        <v>609</v>
      </c>
      <c r="AH75" s="189" t="s">
        <v>1680</v>
      </c>
      <c r="AI75" s="178">
        <v>10</v>
      </c>
      <c r="AJ75" s="178" t="s">
        <v>1681</v>
      </c>
      <c r="AK75" s="189" t="s">
        <v>1682</v>
      </c>
      <c r="AL75" s="178">
        <v>9</v>
      </c>
      <c r="AM75" s="178" t="s">
        <v>4577</v>
      </c>
      <c r="AN75" s="189" t="s">
        <v>4587</v>
      </c>
      <c r="BC75" s="209"/>
      <c r="BH75" s="178" t="s">
        <v>801</v>
      </c>
      <c r="BI75" s="178">
        <v>49</v>
      </c>
      <c r="BJ75" s="178" cm="1">
        <f t="array" ref="BJ75">_xlfn.IFS($AI$11&gt;=18,53,$AI$11&gt;=14,52,$AI$11&gt;=6,51,$AI$11&gt;=3,50,1,0)</f>
        <v>0</v>
      </c>
      <c r="BL75" s="194">
        <f>IFERROR(IF(BL74+1&gt;BQ2,IF(BL74+1&gt;BQ2,IF(BP3+BP74&gt;BQ3,"",BP3+BP74)),BL74+1),"")</f>
        <v>70</v>
      </c>
      <c r="BM75" s="194" t="str" cm="1">
        <f t="array" ref="BM75">IFERROR(INDEX(B31:BC180,BL75,BN2),"")</f>
        <v/>
      </c>
      <c r="BN75" s="194" t="str" cm="1">
        <f t="array" ref="BN75">IFERROR(INDEX(B31:BC180,BL75,BO2),"")</f>
        <v/>
      </c>
      <c r="BO75" s="194" t="str" cm="1">
        <f t="array" ref="BO75">IF(IFERROR(INDEX($B$31:$BC$180,BL75,$BM$2),"")=0,"",IFERROR(INDEX($B$31:$BC$180,BL75,$BM$2),""))</f>
        <v/>
      </c>
      <c r="BP75" s="194">
        <f>IFERROR(IF(BL74+1&gt;BQ2,BP74+1,0),"")</f>
        <v>0</v>
      </c>
      <c r="BR75" s="223" t="str">
        <f t="shared" si="9"/>
        <v/>
      </c>
      <c r="BS75" s="224" t="str" cm="1">
        <f t="array" ref="BS75">INDEX(BR:BR,SMALL(IF($BR$2:$BR$101&lt;&gt;"",ROW($BR$2:$BR$101),142),ROW(BR74)))&amp;""</f>
        <v/>
      </c>
    </row>
    <row r="76" spans="1:71" ht="16.2" customHeight="1" thickBot="1" x14ac:dyDescent="0.3">
      <c r="A76" s="178">
        <v>46</v>
      </c>
      <c r="B76" s="187"/>
      <c r="H76" s="178">
        <v>3</v>
      </c>
      <c r="I76" s="190" t="s">
        <v>4428</v>
      </c>
      <c r="J76" s="191" t="s">
        <v>4429</v>
      </c>
      <c r="K76" s="178">
        <v>3</v>
      </c>
      <c r="L76" s="178" t="s">
        <v>1683</v>
      </c>
      <c r="M76" s="189" t="s">
        <v>1684</v>
      </c>
      <c r="N76" s="178">
        <v>15</v>
      </c>
      <c r="O76" s="190" t="s">
        <v>1685</v>
      </c>
      <c r="P76" s="191" t="s">
        <v>1686</v>
      </c>
      <c r="Q76" s="178">
        <v>11</v>
      </c>
      <c r="R76" s="178" t="s">
        <v>1687</v>
      </c>
      <c r="S76" s="189" t="s">
        <v>1688</v>
      </c>
      <c r="T76" s="178">
        <v>3</v>
      </c>
      <c r="U76" s="178" t="s">
        <v>1689</v>
      </c>
      <c r="V76" s="189" t="s">
        <v>1690</v>
      </c>
      <c r="W76" s="178">
        <v>3</v>
      </c>
      <c r="X76" s="178" t="s">
        <v>1691</v>
      </c>
      <c r="Y76" s="189" t="s">
        <v>1692</v>
      </c>
      <c r="Z76" s="178">
        <v>3</v>
      </c>
      <c r="AA76" s="178" t="s">
        <v>1693</v>
      </c>
      <c r="AB76" s="189" t="s">
        <v>1694</v>
      </c>
      <c r="AC76" s="178">
        <v>6</v>
      </c>
      <c r="AD76" s="190" t="s">
        <v>1695</v>
      </c>
      <c r="AE76" s="191" t="s">
        <v>1696</v>
      </c>
      <c r="AF76" s="178">
        <v>9</v>
      </c>
      <c r="AG76" s="178" t="s">
        <v>1697</v>
      </c>
      <c r="AH76" s="189" t="s">
        <v>1698</v>
      </c>
      <c r="AI76" s="178">
        <v>14</v>
      </c>
      <c r="AJ76" s="178" t="s">
        <v>1699</v>
      </c>
      <c r="AK76" s="189" t="s">
        <v>1700</v>
      </c>
      <c r="AL76" s="178">
        <v>15</v>
      </c>
      <c r="AM76" s="178" t="s">
        <v>4578</v>
      </c>
      <c r="AN76" s="189" t="s">
        <v>4588</v>
      </c>
      <c r="BC76" s="209"/>
      <c r="BH76" s="178" t="s">
        <v>4489</v>
      </c>
      <c r="BI76" s="178">
        <v>54</v>
      </c>
      <c r="BJ76" s="178" cm="1">
        <f t="array" ref="BJ76">_xlfn.IFS($AI$11&gt;=18,58,$AI$11&gt;=14,57,$AI$11&gt;=6,56,$AI$11&gt;=3,55,1,0)</f>
        <v>0</v>
      </c>
      <c r="BL76" s="194">
        <f>IFERROR(IF(BL75+1&gt;BQ2,IF(BL75+1&gt;BQ2,IF(BP3+BP75&gt;BQ3,"",BP3+BP75)),BL75+1),"")</f>
        <v>71</v>
      </c>
      <c r="BM76" s="194" t="str" cm="1">
        <f t="array" ref="BM76">IFERROR(INDEX(B31:BC180,BL76,BN2),"")</f>
        <v/>
      </c>
      <c r="BN76" s="194" t="str" cm="1">
        <f t="array" ref="BN76">IFERROR(INDEX(B31:BC180,BL76,BO2),"")</f>
        <v/>
      </c>
      <c r="BO76" s="194" t="str" cm="1">
        <f t="array" ref="BO76">IF(IFERROR(INDEX($B$31:$BC$180,BL76,$BM$2),"")=0,"",IFERROR(INDEX($B$31:$BC$180,BL76,$BM$2),""))</f>
        <v/>
      </c>
      <c r="BP76" s="194">
        <f>IFERROR(IF(BL75+1&gt;BQ2,BP75+1,0),"")</f>
        <v>0</v>
      </c>
      <c r="BR76" s="223" t="str">
        <f t="shared" si="9"/>
        <v/>
      </c>
      <c r="BS76" s="224" t="str" cm="1">
        <f t="array" ref="BS76">INDEX(BR:BR,SMALL(IF($BR$2:$BR$101&lt;&gt;"",ROW($BR$2:$BR$101),142),ROW(BR75)))&amp;""</f>
        <v/>
      </c>
    </row>
    <row r="77" spans="1:71" ht="16.2" customHeight="1" thickTop="1" x14ac:dyDescent="0.25">
      <c r="A77" s="178">
        <v>47</v>
      </c>
      <c r="B77" s="187"/>
      <c r="H77" s="178">
        <v>3</v>
      </c>
      <c r="I77" s="190" t="s">
        <v>4430</v>
      </c>
      <c r="J77" s="191" t="s">
        <v>4432</v>
      </c>
      <c r="K77" s="178">
        <v>6</v>
      </c>
      <c r="L77" s="178" t="s">
        <v>1701</v>
      </c>
      <c r="M77" s="189" t="s">
        <v>1702</v>
      </c>
      <c r="N77" s="178">
        <v>18</v>
      </c>
      <c r="O77" s="190" t="s">
        <v>1703</v>
      </c>
      <c r="P77" s="191" t="s">
        <v>1704</v>
      </c>
      <c r="Q77" s="178">
        <v>17</v>
      </c>
      <c r="R77" s="178" t="s">
        <v>1705</v>
      </c>
      <c r="S77" s="189" t="s">
        <v>1706</v>
      </c>
      <c r="T77" s="178">
        <v>3</v>
      </c>
      <c r="U77" s="178" t="s">
        <v>1707</v>
      </c>
      <c r="V77" s="189" t="s">
        <v>1708</v>
      </c>
      <c r="W77" s="178">
        <v>7</v>
      </c>
      <c r="X77" s="178" t="s">
        <v>1709</v>
      </c>
      <c r="Y77" s="189" t="s">
        <v>1710</v>
      </c>
      <c r="Z77" s="178">
        <v>3</v>
      </c>
      <c r="AA77" s="178" t="s">
        <v>1711</v>
      </c>
      <c r="AB77" s="189" t="s">
        <v>1712</v>
      </c>
      <c r="AC77" s="178">
        <v>14</v>
      </c>
      <c r="AD77" s="190" t="s">
        <v>1713</v>
      </c>
      <c r="AE77" s="191" t="s">
        <v>1714</v>
      </c>
      <c r="AF77" s="178">
        <v>11</v>
      </c>
      <c r="AG77" s="178" t="s">
        <v>1715</v>
      </c>
      <c r="AH77" s="189" t="s">
        <v>1716</v>
      </c>
      <c r="AI77" s="178">
        <v>3</v>
      </c>
      <c r="AJ77" s="190" t="s">
        <v>4501</v>
      </c>
      <c r="AK77" s="191" t="s">
        <v>4502</v>
      </c>
      <c r="AL77" s="178">
        <v>3</v>
      </c>
      <c r="AM77" s="190" t="s">
        <v>4622</v>
      </c>
      <c r="AN77" s="191" t="s">
        <v>4593</v>
      </c>
      <c r="BC77" s="209"/>
      <c r="BH77" s="222" t="s">
        <v>802</v>
      </c>
      <c r="BI77" s="222">
        <v>50</v>
      </c>
      <c r="BJ77" s="222" cm="1">
        <f t="array" ref="BJ77">_xlfn.IFS($AI$12&gt;=14,54,$AI$12&gt;=10,53,$AI$12&gt;=6,52,$AI$12&gt;=3,51,1,0)</f>
        <v>0</v>
      </c>
      <c r="BL77" s="194">
        <f>IFERROR(IF(BL76+1&gt;BQ2,IF(BL76+1&gt;BQ2,IF(BP3+BP76&gt;BQ3,"",BP3+BP76)),BL76+1),"")</f>
        <v>72</v>
      </c>
      <c r="BM77" s="194" t="str" cm="1">
        <f t="array" ref="BM77">IFERROR(INDEX(B31:BC180,BL77,BN2),"")</f>
        <v/>
      </c>
      <c r="BN77" s="194" t="str" cm="1">
        <f t="array" ref="BN77">IFERROR(INDEX(B31:BC180,BL77,BO2),"")</f>
        <v/>
      </c>
      <c r="BO77" s="194" t="str" cm="1">
        <f t="array" ref="BO77">IF(IFERROR(INDEX($B$31:$BC$180,BL77,$BM$2),"")=0,"",IFERROR(INDEX($B$31:$BC$180,BL77,$BM$2),""))</f>
        <v/>
      </c>
      <c r="BP77" s="194">
        <f>IFERROR(IF(BL76+1&gt;BQ2,BP76+1,0),"")</f>
        <v>0</v>
      </c>
      <c r="BR77" s="223" t="str">
        <f t="shared" si="9"/>
        <v/>
      </c>
      <c r="BS77" s="224" t="str" cm="1">
        <f t="array" ref="BS77">INDEX(BR:BR,SMALL(IF($BR$2:$BR$101&lt;&gt;"",ROW($BR$2:$BR$101),142),ROW(BR76)))&amp;""</f>
        <v/>
      </c>
    </row>
    <row r="78" spans="1:71" ht="16.2" customHeight="1" x14ac:dyDescent="0.25">
      <c r="A78" s="178">
        <v>48</v>
      </c>
      <c r="B78" s="187"/>
      <c r="H78" s="178">
        <v>3</v>
      </c>
      <c r="I78" s="190" t="s">
        <v>4433</v>
      </c>
      <c r="J78" s="191" t="s">
        <v>4434</v>
      </c>
      <c r="K78" s="178">
        <v>10</v>
      </c>
      <c r="L78" s="178" t="s">
        <v>1717</v>
      </c>
      <c r="M78" s="189" t="s">
        <v>1718</v>
      </c>
      <c r="N78" s="178">
        <v>3</v>
      </c>
      <c r="O78" s="178" t="s">
        <v>1719</v>
      </c>
      <c r="P78" s="189" t="s">
        <v>1720</v>
      </c>
      <c r="T78" s="178">
        <v>7</v>
      </c>
      <c r="U78" s="178" t="s">
        <v>1721</v>
      </c>
      <c r="V78" s="189" t="s">
        <v>1722</v>
      </c>
      <c r="W78" s="178">
        <v>11</v>
      </c>
      <c r="X78" s="178" t="s">
        <v>1723</v>
      </c>
      <c r="Y78" s="189" t="s">
        <v>1724</v>
      </c>
      <c r="Z78" s="178">
        <v>9</v>
      </c>
      <c r="AA78" s="178" t="s">
        <v>1725</v>
      </c>
      <c r="AB78" s="189" t="s">
        <v>1726</v>
      </c>
      <c r="AC78" s="178">
        <v>18</v>
      </c>
      <c r="AD78" s="190" t="s">
        <v>1727</v>
      </c>
      <c r="AE78" s="191" t="s">
        <v>1728</v>
      </c>
      <c r="AF78" s="178">
        <v>19</v>
      </c>
      <c r="AG78" s="178" t="s">
        <v>1115</v>
      </c>
      <c r="AH78" s="189" t="s">
        <v>1729</v>
      </c>
      <c r="AI78" s="178">
        <v>3</v>
      </c>
      <c r="AJ78" s="190" t="s">
        <v>4503</v>
      </c>
      <c r="AK78" s="191" t="s">
        <v>4504</v>
      </c>
      <c r="AL78" s="178">
        <v>3</v>
      </c>
      <c r="AM78" s="190" t="s">
        <v>4621</v>
      </c>
      <c r="AN78" s="191" t="s">
        <v>4594</v>
      </c>
      <c r="BC78" s="209"/>
      <c r="BH78" s="178" t="s">
        <v>803</v>
      </c>
      <c r="BI78" s="178">
        <v>55</v>
      </c>
      <c r="BJ78" s="178" cm="1">
        <f t="array" ref="BJ78">_xlfn.IFS($AI$12&gt;=14,59,$AI$12&gt;=10,58,$AI$12&gt;=6,57,$AI$12&gt;=3,56,1,0)</f>
        <v>0</v>
      </c>
      <c r="BL78" s="194">
        <f>IFERROR(IF(BL77+1&gt;BQ2,IF(BL77+1&gt;BQ2,IF(BP3+BP77&gt;BQ3,"",BP3+BP77)),BL77+1),"")</f>
        <v>73</v>
      </c>
      <c r="BM78" s="194" t="str" cm="1">
        <f t="array" ref="BM78">IFERROR(INDEX(B31:BC180,BL78,BN2),"")</f>
        <v/>
      </c>
      <c r="BN78" s="194" t="str" cm="1">
        <f t="array" ref="BN78">IFERROR(INDEX(B31:BC180,BL78,BO2),"")</f>
        <v/>
      </c>
      <c r="BO78" s="194" t="str" cm="1">
        <f t="array" ref="BO78">IF(IFERROR(INDEX($B$31:$BC$180,BL78,$BM$2),"")=0,"",IFERROR(INDEX($B$31:$BC$180,BL78,$BM$2),""))</f>
        <v/>
      </c>
      <c r="BP78" s="194">
        <f>IFERROR(IF(BL77+1&gt;BQ2,BP77+1,0),"")</f>
        <v>0</v>
      </c>
      <c r="BR78" s="223" t="str">
        <f t="shared" si="9"/>
        <v/>
      </c>
      <c r="BS78" s="224" t="str" cm="1">
        <f t="array" ref="BS78">INDEX(BR:BR,SMALL(IF($BR$2:$BR$101&lt;&gt;"",ROW($BR$2:$BR$101),142),ROW(BR77)))&amp;""</f>
        <v/>
      </c>
    </row>
    <row r="79" spans="1:71" ht="16.2" customHeight="1" x14ac:dyDescent="0.25">
      <c r="A79" s="178">
        <v>49</v>
      </c>
      <c r="B79" s="187"/>
      <c r="H79" s="178">
        <v>6</v>
      </c>
      <c r="I79" s="190" t="s">
        <v>4435</v>
      </c>
      <c r="J79" s="191" t="s">
        <v>4436</v>
      </c>
      <c r="K79" s="178">
        <v>14</v>
      </c>
      <c r="L79" s="178" t="s">
        <v>1730</v>
      </c>
      <c r="M79" s="189" t="s">
        <v>1731</v>
      </c>
      <c r="N79" s="178">
        <v>3</v>
      </c>
      <c r="O79" s="178" t="s">
        <v>1732</v>
      </c>
      <c r="P79" s="189" t="s">
        <v>1733</v>
      </c>
      <c r="T79" s="178">
        <v>15</v>
      </c>
      <c r="U79" s="178" t="s">
        <v>1734</v>
      </c>
      <c r="V79" s="189" t="s">
        <v>1735</v>
      </c>
      <c r="W79" s="178">
        <v>15</v>
      </c>
      <c r="X79" s="178" t="s">
        <v>1736</v>
      </c>
      <c r="Y79" s="189" t="s">
        <v>1737</v>
      </c>
      <c r="Z79" s="178">
        <v>13</v>
      </c>
      <c r="AA79" s="178" t="s">
        <v>1738</v>
      </c>
      <c r="AB79" s="189" t="s">
        <v>1739</v>
      </c>
      <c r="AC79" s="178">
        <v>3</v>
      </c>
      <c r="AD79" s="178" t="s">
        <v>1740</v>
      </c>
      <c r="AE79" s="189" t="s">
        <v>1741</v>
      </c>
      <c r="AF79" s="178">
        <v>20</v>
      </c>
      <c r="AG79" s="178" t="s">
        <v>1742</v>
      </c>
      <c r="AH79" s="189" t="s">
        <v>1743</v>
      </c>
      <c r="AI79" s="178">
        <v>6</v>
      </c>
      <c r="AJ79" s="190" t="s">
        <v>4505</v>
      </c>
      <c r="AK79" s="191" t="s">
        <v>4506</v>
      </c>
      <c r="AL79" s="178">
        <v>3</v>
      </c>
      <c r="AM79" s="190" t="s">
        <v>4589</v>
      </c>
      <c r="AN79" s="191" t="s">
        <v>4595</v>
      </c>
      <c r="BC79" s="209"/>
      <c r="BH79" s="178" t="s">
        <v>804</v>
      </c>
      <c r="BI79" s="178">
        <v>60</v>
      </c>
      <c r="BJ79" s="178" cm="1">
        <f t="array" ref="BJ79">_xlfn.IFS($AI$12&gt;=14,64,$AI$12&gt;=10,63,$AI$12&gt;=6,62,$AI$12&gt;=3,61,1,0)</f>
        <v>0</v>
      </c>
      <c r="BL79" s="194">
        <f>IFERROR(IF(BL78+1&gt;BQ2,IF(BL78+1&gt;BQ2,IF(BP3+BP78&gt;BQ3,"",BP3+BP78)),BL78+1),"")</f>
        <v>74</v>
      </c>
      <c r="BM79" s="194" t="str" cm="1">
        <f t="array" ref="BM79">IFERROR(INDEX(B31:BC180,BL79,BN2),"")</f>
        <v/>
      </c>
      <c r="BN79" s="194" t="str" cm="1">
        <f t="array" ref="BN79">IFERROR(INDEX(B31:BC180,BL79,BO2),"")</f>
        <v/>
      </c>
      <c r="BO79" s="194" t="str" cm="1">
        <f t="array" ref="BO79">IF(IFERROR(INDEX($B$31:$BC$180,BL79,$BM$2),"")=0,"",IFERROR(INDEX($B$31:$BC$180,BL79,$BM$2),""))</f>
        <v/>
      </c>
      <c r="BP79" s="194">
        <f>IFERROR(IF(BL78+1&gt;BQ2,BP78+1,0),"")</f>
        <v>0</v>
      </c>
      <c r="BR79" s="223" t="str">
        <f t="shared" si="9"/>
        <v/>
      </c>
      <c r="BS79" s="224" t="str" cm="1">
        <f t="array" ref="BS79">INDEX(BR:BR,SMALL(IF($BR$2:$BR$101&lt;&gt;"",ROW($BR$2:$BR$101),142),ROW(BR78)))&amp;""</f>
        <v/>
      </c>
    </row>
    <row r="80" spans="1:71" ht="16.2" customHeight="1" thickBot="1" x14ac:dyDescent="0.3">
      <c r="A80" s="178">
        <v>50</v>
      </c>
      <c r="B80" s="187"/>
      <c r="H80" s="178">
        <v>17</v>
      </c>
      <c r="I80" s="190" t="s">
        <v>4437</v>
      </c>
      <c r="J80" s="191" t="s">
        <v>4438</v>
      </c>
      <c r="N80" s="178">
        <v>7</v>
      </c>
      <c r="O80" s="178" t="s">
        <v>1744</v>
      </c>
      <c r="P80" s="189" t="s">
        <v>1745</v>
      </c>
      <c r="T80" s="178">
        <v>20</v>
      </c>
      <c r="U80" s="178" t="s">
        <v>1746</v>
      </c>
      <c r="V80" s="189" t="s">
        <v>1747</v>
      </c>
      <c r="W80" s="178">
        <v>3</v>
      </c>
      <c r="X80" s="190" t="s">
        <v>4466</v>
      </c>
      <c r="Y80" s="191" t="s">
        <v>4467</v>
      </c>
      <c r="Z80" s="178">
        <v>17</v>
      </c>
      <c r="AA80" s="178" t="s">
        <v>1748</v>
      </c>
      <c r="AB80" s="189" t="s">
        <v>1749</v>
      </c>
      <c r="AC80" s="178">
        <v>3</v>
      </c>
      <c r="AD80" s="178" t="s">
        <v>1750</v>
      </c>
      <c r="AE80" s="189" t="s">
        <v>1751</v>
      </c>
      <c r="AF80" s="178">
        <v>3</v>
      </c>
      <c r="AG80" s="190" t="s">
        <v>1752</v>
      </c>
      <c r="AH80" s="191" t="s">
        <v>1753</v>
      </c>
      <c r="AI80" s="178">
        <v>10</v>
      </c>
      <c r="AJ80" s="190" t="s">
        <v>4507</v>
      </c>
      <c r="AK80" s="191" t="s">
        <v>4508</v>
      </c>
      <c r="AM80" s="190" t="s">
        <v>4589</v>
      </c>
      <c r="AN80" s="191" t="s">
        <v>4596</v>
      </c>
      <c r="BC80" s="209"/>
      <c r="BH80" s="178" t="s">
        <v>805</v>
      </c>
      <c r="BI80" s="178">
        <v>65</v>
      </c>
      <c r="BJ80" s="178" cm="1">
        <f t="array" ref="BJ80">_xlfn.IFS($AI$12&gt;=14,71,$AI$12&gt;=10,70,$AI$12&gt;=6,68,$AI$12&gt;=3,67,1,0)</f>
        <v>0</v>
      </c>
      <c r="BL80" s="194">
        <f>IFERROR(IF(BL79+1&gt;BQ2,IF(BL79+1&gt;BQ2,IF(BP3+BP79&gt;BQ3,"",BP3+BP79)),BL79+1),"")</f>
        <v>75</v>
      </c>
      <c r="BM80" s="194" t="str" cm="1">
        <f t="array" ref="BM80">IFERROR(INDEX(B31:BC180,BL80,BN2),"")</f>
        <v/>
      </c>
      <c r="BN80" s="194" t="str" cm="1">
        <f t="array" ref="BN80">IFERROR(INDEX(B31:BC180,BL80,BO2),"")</f>
        <v/>
      </c>
      <c r="BO80" s="194" t="str" cm="1">
        <f t="array" ref="BO80">IF(IFERROR(INDEX($B$31:$BC$180,BL80,$BM$2),"")=0,"",IFERROR(INDEX($B$31:$BC$180,BL80,$BM$2),""))</f>
        <v/>
      </c>
      <c r="BP80" s="194">
        <f>IFERROR(IF(BL79+1&gt;BQ2,BP79+1,0),"")</f>
        <v>0</v>
      </c>
      <c r="BR80" s="223" t="str">
        <f t="shared" si="9"/>
        <v/>
      </c>
      <c r="BS80" s="224" t="str" cm="1">
        <f t="array" ref="BS80">INDEX(BR:BR,SMALL(IF($BR$2:$BR$101&lt;&gt;"",ROW($BR$2:$BR$101),142),ROW(BR79)))&amp;""</f>
        <v/>
      </c>
    </row>
    <row r="81" spans="1:71" ht="16.2" customHeight="1" thickTop="1" x14ac:dyDescent="0.25">
      <c r="A81" s="178">
        <v>51</v>
      </c>
      <c r="B81" s="187"/>
      <c r="N81" s="178">
        <v>10</v>
      </c>
      <c r="O81" s="178" t="s">
        <v>1754</v>
      </c>
      <c r="P81" s="189" t="s">
        <v>1755</v>
      </c>
      <c r="T81" s="178">
        <v>3</v>
      </c>
      <c r="U81" s="190" t="s">
        <v>4453</v>
      </c>
      <c r="V81" s="191" t="s">
        <v>4454</v>
      </c>
      <c r="W81" s="178">
        <v>3</v>
      </c>
      <c r="X81" s="190" t="s">
        <v>4468</v>
      </c>
      <c r="Y81" s="191" t="s">
        <v>4469</v>
      </c>
      <c r="Z81" s="178">
        <v>3</v>
      </c>
      <c r="AA81" s="190" t="s">
        <v>4479</v>
      </c>
      <c r="AB81" s="191" t="s">
        <v>4480</v>
      </c>
      <c r="AC81" s="178">
        <v>6</v>
      </c>
      <c r="AD81" s="178" t="s">
        <v>1756</v>
      </c>
      <c r="AE81" s="189" t="s">
        <v>1757</v>
      </c>
      <c r="AF81" s="178">
        <v>3</v>
      </c>
      <c r="AG81" s="190" t="s">
        <v>1758</v>
      </c>
      <c r="AH81" s="191" t="s">
        <v>1759</v>
      </c>
      <c r="AI81" s="178">
        <v>14</v>
      </c>
      <c r="AJ81" s="190" t="s">
        <v>4509</v>
      </c>
      <c r="AK81" s="191" t="s">
        <v>4510</v>
      </c>
      <c r="AL81" s="178">
        <v>5</v>
      </c>
      <c r="AM81" s="190" t="s">
        <v>4590</v>
      </c>
      <c r="AN81" s="191" t="s">
        <v>4597</v>
      </c>
      <c r="BC81" s="209"/>
      <c r="BH81" s="222" t="s">
        <v>806</v>
      </c>
      <c r="BI81" s="222">
        <v>27</v>
      </c>
      <c r="BJ81" s="222" cm="1">
        <f t="array" ref="BJ81">_xlfn.IFS($AI$13&gt;=14,31,$AI$13&gt;=10,33,$AI$13&gt;=6,29,$AI$13&gt;=3,28,1,0)</f>
        <v>0</v>
      </c>
      <c r="BL81" s="194">
        <f>IFERROR(IF(BL80+1&gt;BQ2,IF(BL80+1&gt;BQ2,IF(BP3+BP80&gt;BQ3,"",BP3+BP80)),BL80+1),"")</f>
        <v>76</v>
      </c>
      <c r="BM81" s="194" t="str" cm="1">
        <f t="array" ref="BM81">IFERROR(INDEX(B31:BC180,BL81,BN2),"")</f>
        <v/>
      </c>
      <c r="BN81" s="194" t="str" cm="1">
        <f t="array" ref="BN81">IFERROR(INDEX(B31:BC180,BL81,BO2),"")</f>
        <v/>
      </c>
      <c r="BO81" s="194" t="str" cm="1">
        <f t="array" ref="BO81">IF(IFERROR(INDEX($B$31:$BC$180,BL81,$BM$2),"")=0,"",IFERROR(INDEX($B$31:$BC$180,BL81,$BM$2),""))</f>
        <v/>
      </c>
      <c r="BP81" s="194">
        <f>IFERROR(IF(BL80+1&gt;BQ2,BP80+1,0),"")</f>
        <v>0</v>
      </c>
      <c r="BR81" s="223" t="str">
        <f t="shared" si="9"/>
        <v/>
      </c>
      <c r="BS81" s="224" t="str" cm="1">
        <f t="array" ref="BS81">INDEX(BR:BR,SMALL(IF($BR$2:$BR$101&lt;&gt;"",ROW($BR$2:$BR$101),142),ROW(BR80)))&amp;""</f>
        <v/>
      </c>
    </row>
    <row r="82" spans="1:71" ht="16.2" customHeight="1" x14ac:dyDescent="0.25">
      <c r="A82" s="178">
        <v>52</v>
      </c>
      <c r="B82" s="187"/>
      <c r="N82" s="178">
        <v>15</v>
      </c>
      <c r="O82" s="178" t="s">
        <v>1760</v>
      </c>
      <c r="P82" s="189" t="s">
        <v>1761</v>
      </c>
      <c r="T82" s="178">
        <v>3</v>
      </c>
      <c r="U82" s="190" t="s">
        <v>4455</v>
      </c>
      <c r="V82" s="191" t="s">
        <v>4456</v>
      </c>
      <c r="W82" s="178">
        <v>3</v>
      </c>
      <c r="X82" s="190" t="s">
        <v>4470</v>
      </c>
      <c r="Y82" s="191" t="s">
        <v>4471</v>
      </c>
      <c r="Z82" s="178">
        <v>3</v>
      </c>
      <c r="AA82" s="190" t="s">
        <v>4481</v>
      </c>
      <c r="AB82" s="191" t="s">
        <v>4482</v>
      </c>
      <c r="AC82" s="178">
        <v>14</v>
      </c>
      <c r="AD82" s="178" t="s">
        <v>1762</v>
      </c>
      <c r="AE82" s="189" t="s">
        <v>1763</v>
      </c>
      <c r="AF82" s="178">
        <v>6</v>
      </c>
      <c r="AG82" s="190" t="s">
        <v>1764</v>
      </c>
      <c r="AH82" s="191" t="s">
        <v>1765</v>
      </c>
      <c r="AL82" s="178">
        <v>9</v>
      </c>
      <c r="AM82" s="190" t="s">
        <v>4591</v>
      </c>
      <c r="AN82" s="191" t="s">
        <v>4598</v>
      </c>
      <c r="BC82" s="209"/>
      <c r="BH82" s="178" t="s">
        <v>807</v>
      </c>
      <c r="BI82" s="178">
        <v>32</v>
      </c>
      <c r="BJ82" s="178" cm="1">
        <f t="array" ref="BJ82">_xlfn.IFS($AI$13&gt;=14,36,$AI$13&gt;=10,35,$AI$13&gt;=6,34,$AI$13&gt;=3,33,1,0)</f>
        <v>0</v>
      </c>
      <c r="BL82" s="194">
        <f>IFERROR(IF(BL81+1&gt;BQ2,IF(BL81+1&gt;BQ2,IF(BP3+BP81&gt;BQ3,"",BP3+BP81)),BL81+1),"")</f>
        <v>77</v>
      </c>
      <c r="BM82" s="194" t="str" cm="1">
        <f t="array" ref="BM82">IFERROR(INDEX(B31:BC180,BL82,BN2),"")</f>
        <v/>
      </c>
      <c r="BN82" s="194" t="str" cm="1">
        <f t="array" ref="BN82">IFERROR(INDEX(B31:BC180,BL82,BO2),"")</f>
        <v/>
      </c>
      <c r="BO82" s="194" t="str" cm="1">
        <f t="array" ref="BO82">IF(IFERROR(INDEX($B$31:$BC$180,BL82,$BM$2),"")=0,"",IFERROR(INDEX($B$31:$BC$180,BL82,$BM$2),""))</f>
        <v/>
      </c>
      <c r="BP82" s="194">
        <f>IFERROR(IF(BL81+1&gt;BQ2,BP81+1,0),"")</f>
        <v>0</v>
      </c>
      <c r="BR82" s="223" t="str">
        <f t="shared" si="9"/>
        <v/>
      </c>
      <c r="BS82" s="224" t="str" cm="1">
        <f t="array" ref="BS82">INDEX(BR:BR,SMALL(IF($BR$2:$BR$101&lt;&gt;"",ROW($BR$2:$BR$101),142),ROW(BR81)))&amp;""</f>
        <v/>
      </c>
    </row>
    <row r="83" spans="1:71" ht="16.2" customHeight="1" x14ac:dyDescent="0.25">
      <c r="A83" s="178">
        <v>53</v>
      </c>
      <c r="B83" s="187"/>
      <c r="N83" s="178">
        <v>18</v>
      </c>
      <c r="O83" s="178" t="s">
        <v>1766</v>
      </c>
      <c r="P83" s="189" t="s">
        <v>1767</v>
      </c>
      <c r="T83" s="178">
        <v>3</v>
      </c>
      <c r="U83" s="190" t="s">
        <v>4457</v>
      </c>
      <c r="V83" s="191" t="s">
        <v>4458</v>
      </c>
      <c r="W83" s="178">
        <v>7</v>
      </c>
      <c r="X83" s="190" t="s">
        <v>4472</v>
      </c>
      <c r="Y83" s="191" t="s">
        <v>4473</v>
      </c>
      <c r="Z83" s="178">
        <v>9</v>
      </c>
      <c r="AA83" s="190" t="s">
        <v>4483</v>
      </c>
      <c r="AB83" s="191" t="s">
        <v>4484</v>
      </c>
      <c r="AC83" s="178">
        <v>18</v>
      </c>
      <c r="AD83" s="178" t="s">
        <v>1768</v>
      </c>
      <c r="AE83" s="189" t="s">
        <v>1769</v>
      </c>
      <c r="AF83" s="178">
        <v>10</v>
      </c>
      <c r="AG83" s="190" t="s">
        <v>1770</v>
      </c>
      <c r="AH83" s="191" t="s">
        <v>1771</v>
      </c>
      <c r="AL83" s="178">
        <v>15</v>
      </c>
      <c r="AM83" s="190" t="s">
        <v>4592</v>
      </c>
      <c r="AN83" s="191" t="s">
        <v>4599</v>
      </c>
      <c r="BC83" s="209"/>
      <c r="BH83" s="178" t="s">
        <v>808</v>
      </c>
      <c r="BI83" s="178">
        <v>37</v>
      </c>
      <c r="BJ83" s="178" cm="1">
        <f t="array" ref="BJ83">_xlfn.IFS($AI$13&gt;=14,41,$AI$13&gt;=10,40,$AI$13&gt;=6,39,$AI$13&gt;=3,38,1,0)</f>
        <v>0</v>
      </c>
      <c r="BL83" s="194">
        <f>IFERROR(IF(BL82+1&gt;BQ2,IF(BL82+1&gt;BQ2,IF(BP3+BP82&gt;BQ3,"",BP3+BP82)),BL82+1),"")</f>
        <v>78</v>
      </c>
      <c r="BM83" s="194" t="str" cm="1">
        <f t="array" ref="BM83">IFERROR(INDEX(B31:BC180,BL83,BN2),"")</f>
        <v/>
      </c>
      <c r="BN83" s="194" t="str" cm="1">
        <f t="array" ref="BN83">IFERROR(INDEX(B31:BC180,BL83,BO2),"")</f>
        <v/>
      </c>
      <c r="BO83" s="194" t="str" cm="1">
        <f t="array" ref="BO83">IF(IFERROR(INDEX($B$31:$BC$180,BL83,$BM$2),"")=0,"",IFERROR(INDEX($B$31:$BC$180,BL83,$BM$2),""))</f>
        <v/>
      </c>
      <c r="BP83" s="194">
        <f>IFERROR(IF(BL82+1&gt;BQ2,BP82+1,0),"")</f>
        <v>0</v>
      </c>
      <c r="BR83" s="223" t="str">
        <f t="shared" si="9"/>
        <v/>
      </c>
      <c r="BS83" s="224" t="str" cm="1">
        <f t="array" ref="BS83">INDEX(BR:BR,SMALL(IF($BR$2:$BR$101&lt;&gt;"",ROW($BR$2:$BR$101),142),ROW(BR82)))&amp;""</f>
        <v/>
      </c>
    </row>
    <row r="84" spans="1:71" ht="16.2" customHeight="1" x14ac:dyDescent="0.25">
      <c r="A84" s="178">
        <v>54</v>
      </c>
      <c r="B84" s="187"/>
      <c r="N84" s="178">
        <v>3</v>
      </c>
      <c r="O84" s="190" t="s">
        <v>1772</v>
      </c>
      <c r="P84" s="191" t="s">
        <v>1773</v>
      </c>
      <c r="T84" s="178">
        <v>7</v>
      </c>
      <c r="U84" s="190" t="s">
        <v>4459</v>
      </c>
      <c r="V84" s="191" t="s">
        <v>4460</v>
      </c>
      <c r="W84" s="178">
        <v>11</v>
      </c>
      <c r="X84" s="190" t="s">
        <v>4474</v>
      </c>
      <c r="Y84" s="191" t="s">
        <v>4475</v>
      </c>
      <c r="Z84" s="178">
        <v>13</v>
      </c>
      <c r="AA84" s="190" t="s">
        <v>4485</v>
      </c>
      <c r="AB84" s="191" t="s">
        <v>4486</v>
      </c>
      <c r="AC84" s="178">
        <v>3</v>
      </c>
      <c r="AD84" s="190" t="s">
        <v>4490</v>
      </c>
      <c r="AE84" s="191" t="s">
        <v>4491</v>
      </c>
      <c r="AF84" s="178">
        <v>14</v>
      </c>
      <c r="AG84" s="190" t="s">
        <v>1774</v>
      </c>
      <c r="AH84" s="191" t="s">
        <v>1775</v>
      </c>
      <c r="AL84" s="178">
        <v>3</v>
      </c>
      <c r="AM84" s="178" t="s">
        <v>4620</v>
      </c>
      <c r="AN84" s="189" t="s">
        <v>4604</v>
      </c>
      <c r="BC84" s="209"/>
      <c r="BH84" s="178" t="s">
        <v>809</v>
      </c>
      <c r="BI84" s="178">
        <v>42</v>
      </c>
      <c r="BJ84" s="178" cm="1">
        <f t="array" ref="BJ84">_xlfn.IFS($AI$13&gt;=14,46,$AI$13&gt;=10,45,$AI$13&gt;=6,44,$AI$13&gt;=3,43,1,0)</f>
        <v>0</v>
      </c>
      <c r="BL84" s="194">
        <f>IFERROR(IF(BL83+1&gt;BQ2,IF(BL83+1&gt;BQ2,IF(BP3+BP83&gt;BQ3,"",BP3+BP83)),BL83+1),"")</f>
        <v>79</v>
      </c>
      <c r="BM84" s="194" t="str" cm="1">
        <f t="array" ref="BM84">IFERROR(INDEX(B31:BC180,BL84,BN2),"")</f>
        <v/>
      </c>
      <c r="BN84" s="194" t="str" cm="1">
        <f t="array" ref="BN84">IFERROR(INDEX(B31:BC180,BL84,BO2),"")</f>
        <v/>
      </c>
      <c r="BO84" s="194" t="str" cm="1">
        <f t="array" ref="BO84">IF(IFERROR(INDEX($B$31:$BC$180,BL84,$BM$2),"")=0,"",IFERROR(INDEX($B$31:$BC$180,BL84,$BM$2),""))</f>
        <v/>
      </c>
      <c r="BP84" s="194">
        <f>IFERROR(IF(BL83+1&gt;BQ2,BP83+1,0),"")</f>
        <v>0</v>
      </c>
      <c r="BR84" s="223" t="str">
        <f t="shared" si="9"/>
        <v/>
      </c>
      <c r="BS84" s="224" t="str" cm="1">
        <f t="array" ref="BS84">INDEX(BR:BR,SMALL(IF($BR$2:$BR$101&lt;&gt;"",ROW($BR$2:$BR$101),142),ROW(BR83)))&amp;""</f>
        <v/>
      </c>
    </row>
    <row r="85" spans="1:71" ht="16.2" customHeight="1" thickBot="1" x14ac:dyDescent="0.3">
      <c r="A85" s="178">
        <v>55</v>
      </c>
      <c r="B85" s="187"/>
      <c r="O85" s="190" t="s">
        <v>225</v>
      </c>
      <c r="P85" s="191" t="s">
        <v>1776</v>
      </c>
      <c r="T85" s="178">
        <v>15</v>
      </c>
      <c r="U85" s="190" t="s">
        <v>4461</v>
      </c>
      <c r="V85" s="191" t="s">
        <v>4462</v>
      </c>
      <c r="W85" s="178">
        <v>15</v>
      </c>
      <c r="X85" s="190" t="s">
        <v>4476</v>
      </c>
      <c r="Y85" s="191" t="s">
        <v>4477</v>
      </c>
      <c r="Z85" s="178">
        <v>17</v>
      </c>
      <c r="AA85" s="190" t="s">
        <v>4487</v>
      </c>
      <c r="AB85" s="191" t="s">
        <v>4488</v>
      </c>
      <c r="AC85" s="178">
        <v>3</v>
      </c>
      <c r="AD85" s="190" t="s">
        <v>4492</v>
      </c>
      <c r="AE85" s="191" t="s">
        <v>4493</v>
      </c>
      <c r="AF85" s="178">
        <v>3</v>
      </c>
      <c r="AG85" s="178" t="s">
        <v>1777</v>
      </c>
      <c r="AH85" s="189" t="s">
        <v>1778</v>
      </c>
      <c r="AL85" s="178">
        <v>3</v>
      </c>
      <c r="AM85" s="178" t="s">
        <v>4619</v>
      </c>
      <c r="AN85" s="189" t="s">
        <v>4605</v>
      </c>
      <c r="BC85" s="209"/>
      <c r="BH85" s="178" t="s">
        <v>4500</v>
      </c>
      <c r="BI85" s="178">
        <v>47</v>
      </c>
      <c r="BJ85" s="178" cm="1">
        <f t="array" ref="BJ85">_xlfn.IFS($AI$13&gt;=51,46,$AI$13&gt;=10,50,$AI$13&gt;=6,49,$AI$13&gt;=3,48,1,0)</f>
        <v>0</v>
      </c>
      <c r="BL85" s="194">
        <f>IFERROR(IF(BL84+1&gt;BQ2,IF(BL84+1&gt;BQ2,IF(BP3+BP84&gt;BQ3,"",BP3+BP84)),BL84+1),"")</f>
        <v>80</v>
      </c>
      <c r="BM85" s="194" t="str" cm="1">
        <f t="array" ref="BM85">IFERROR(INDEX(B31:BC180,BL85,BN2),"")</f>
        <v/>
      </c>
      <c r="BN85" s="194" t="str" cm="1">
        <f t="array" ref="BN85">IFERROR(INDEX(B31:BC180,BL85,BO2),"")</f>
        <v/>
      </c>
      <c r="BO85" s="194" t="str" cm="1">
        <f t="array" ref="BO85">IF(IFERROR(INDEX($B$31:$BC$180,BL85,$BM$2),"")=0,"",IFERROR(INDEX($B$31:$BC$180,BL85,$BM$2),""))</f>
        <v/>
      </c>
      <c r="BP85" s="194">
        <f>IFERROR(IF(BL84+1&gt;BQ2,BP84+1,0),"")</f>
        <v>0</v>
      </c>
      <c r="BR85" s="223" t="str">
        <f t="shared" si="9"/>
        <v/>
      </c>
      <c r="BS85" s="224" t="str" cm="1">
        <f t="array" ref="BS85">INDEX(BR:BR,SMALL(IF($BR$2:$BR$101&lt;&gt;"",ROW($BR$2:$BR$101),142),ROW(BR84)))&amp;""</f>
        <v/>
      </c>
    </row>
    <row r="86" spans="1:71" ht="16.2" customHeight="1" thickTop="1" x14ac:dyDescent="0.25">
      <c r="A86" s="178">
        <v>56</v>
      </c>
      <c r="B86" s="187"/>
      <c r="O86" s="190" t="s">
        <v>185</v>
      </c>
      <c r="P86" s="191" t="s">
        <v>1779</v>
      </c>
      <c r="T86" s="178">
        <v>20</v>
      </c>
      <c r="U86" s="190" t="s">
        <v>4463</v>
      </c>
      <c r="V86" s="191" t="s">
        <v>4464</v>
      </c>
      <c r="AC86" s="178">
        <v>6</v>
      </c>
      <c r="AD86" s="190" t="s">
        <v>4494</v>
      </c>
      <c r="AE86" s="191" t="s">
        <v>4495</v>
      </c>
      <c r="AF86" s="178">
        <v>3</v>
      </c>
      <c r="AG86" s="178" t="s">
        <v>1780</v>
      </c>
      <c r="AH86" s="189" t="s">
        <v>1781</v>
      </c>
      <c r="AL86" s="178">
        <v>3</v>
      </c>
      <c r="AM86" s="178" t="s">
        <v>4600</v>
      </c>
      <c r="AN86" s="189" t="s">
        <v>4606</v>
      </c>
      <c r="BC86" s="209"/>
      <c r="BH86" s="222" t="s">
        <v>812</v>
      </c>
      <c r="BI86" s="222">
        <v>31</v>
      </c>
      <c r="BJ86" s="222" cm="1">
        <f t="array" ref="BJ86">_xlfn.IFS($AI$14&gt;=15,36,$AI$14&gt;=9,35,$AI$14&gt;=5,34,$AI$14&gt;=3,33,1,0)</f>
        <v>0</v>
      </c>
      <c r="BL86" s="194">
        <f>IFERROR(IF(BL85+1&gt;BQ2,IF(BL85+1&gt;BQ2,IF(BP3+BP85&gt;BQ3,"",BP3+BP85)),BL85+1),"")</f>
        <v>81</v>
      </c>
      <c r="BM86" s="194" t="str" cm="1">
        <f t="array" ref="BM86">IFERROR(INDEX(B31:BC180,BL86,BN2),"")</f>
        <v/>
      </c>
      <c r="BN86" s="194" t="str" cm="1">
        <f t="array" ref="BN86">IFERROR(INDEX(B31:BC180,BL86,BO2),"")</f>
        <v/>
      </c>
      <c r="BO86" s="194" t="str" cm="1">
        <f t="array" ref="BO86">IF(IFERROR(INDEX($B$31:$BC$180,BL86,$BM$2),"")=0,"",IFERROR(INDEX($B$31:$BC$180,BL86,$BM$2),""))</f>
        <v/>
      </c>
      <c r="BP86" s="194">
        <f>IFERROR(IF(BL85+1&gt;BQ2,BP85+1,0),"")</f>
        <v>0</v>
      </c>
      <c r="BR86" s="223" t="str">
        <f t="shared" si="9"/>
        <v/>
      </c>
      <c r="BS86" s="224" t="str" cm="1">
        <f t="array" ref="BS86">INDEX(BR:BR,SMALL(IF($BR$2:$BR$101&lt;&gt;"",ROW($BR$2:$BR$101),142),ROW(BR85)))&amp;""</f>
        <v/>
      </c>
    </row>
    <row r="87" spans="1:71" ht="16.2" customHeight="1" x14ac:dyDescent="0.25">
      <c r="A87" s="178">
        <v>57</v>
      </c>
      <c r="B87" s="187"/>
      <c r="O87" s="190" t="s">
        <v>909</v>
      </c>
      <c r="P87" s="191" t="s">
        <v>1782</v>
      </c>
      <c r="AC87" s="178">
        <v>14</v>
      </c>
      <c r="AD87" s="190" t="s">
        <v>4496</v>
      </c>
      <c r="AE87" s="191" t="s">
        <v>4497</v>
      </c>
      <c r="AF87" s="178">
        <v>6</v>
      </c>
      <c r="AG87" s="178" t="s">
        <v>1783</v>
      </c>
      <c r="AH87" s="189" t="s">
        <v>1784</v>
      </c>
      <c r="AL87" s="178">
        <v>3</v>
      </c>
      <c r="AM87" s="178" t="s">
        <v>4601</v>
      </c>
      <c r="AN87" s="189" t="s">
        <v>4607</v>
      </c>
      <c r="BC87" s="209"/>
      <c r="BH87" s="178" t="s">
        <v>814</v>
      </c>
      <c r="BI87" s="178">
        <v>37</v>
      </c>
      <c r="BJ87" s="178" cm="1">
        <f t="array" ref="BJ87">_xlfn.IFS($AI$14&gt;=15,46,$AI$14&gt;=9,45,$AI$14&gt;=5,44,$AI$14&gt;=3,43,1,0)</f>
        <v>0</v>
      </c>
      <c r="BL87" s="194">
        <f>IFERROR(IF(BL86+1&gt;BQ2,IF(BL86+1&gt;BQ2,IF(BP3+BP86&gt;BQ3,"",BP3+BP86)),BL86+1),"")</f>
        <v>82</v>
      </c>
      <c r="BM87" s="194" t="str" cm="1">
        <f t="array" ref="BM87">IFERROR(INDEX(B31:BC180,BL87,BN2),"")</f>
        <v/>
      </c>
      <c r="BN87" s="194" t="str" cm="1">
        <f t="array" ref="BN87">IFERROR(INDEX(B31:BC180,BL87,BO2),"")</f>
        <v/>
      </c>
      <c r="BO87" s="194" t="str" cm="1">
        <f t="array" ref="BO87">IF(IFERROR(INDEX($B$31:$BC$180,BL87,$BM$2),"")=0,"",IFERROR(INDEX($B$31:$BC$180,BL87,$BM$2),""))</f>
        <v/>
      </c>
      <c r="BP87" s="194">
        <f>IFERROR(IF(BL86+1&gt;BQ2,BP86+1,0),"")</f>
        <v>0</v>
      </c>
      <c r="BR87" s="223" t="str">
        <f t="shared" si="9"/>
        <v/>
      </c>
      <c r="BS87" s="224" t="str" cm="1">
        <f t="array" ref="BS87">INDEX(BR:BR,SMALL(IF($BR$2:$BR$101&lt;&gt;"",ROW($BR$2:$BR$101),142),ROW(BR86)))&amp;""</f>
        <v/>
      </c>
    </row>
    <row r="88" spans="1:71" ht="16.2" customHeight="1" x14ac:dyDescent="0.25">
      <c r="A88" s="178">
        <v>58</v>
      </c>
      <c r="B88" s="187"/>
      <c r="O88" s="190" t="s">
        <v>926</v>
      </c>
      <c r="P88" s="191" t="s">
        <v>1785</v>
      </c>
      <c r="AC88" s="178">
        <v>18</v>
      </c>
      <c r="AD88" s="190" t="s">
        <v>4498</v>
      </c>
      <c r="AE88" s="191" t="s">
        <v>4499</v>
      </c>
      <c r="AF88" s="178">
        <v>10</v>
      </c>
      <c r="AG88" s="178" t="s">
        <v>1786</v>
      </c>
      <c r="AH88" s="189" t="s">
        <v>1787</v>
      </c>
      <c r="AL88" s="178">
        <v>5</v>
      </c>
      <c r="AM88" s="178" t="s">
        <v>991</v>
      </c>
      <c r="AN88" s="189" t="s">
        <v>4586</v>
      </c>
      <c r="BC88" s="209"/>
      <c r="BH88" s="178" t="s">
        <v>813</v>
      </c>
      <c r="BI88" s="178">
        <v>47</v>
      </c>
      <c r="BJ88" s="178" cm="1">
        <f t="array" ref="BJ88">_xlfn.IFS($AI$14&gt;=15,53,$AI$14&gt;=9,52,$AI$14&gt;=5,51,$AI$14&gt;=3,50,1,0)</f>
        <v>0</v>
      </c>
      <c r="BL88" s="194">
        <f>IFERROR(IF(BL87+1&gt;BQ2,IF(BL87+1&gt;BQ2,IF(BP3+BP87&gt;BQ3,"",BP3+BP87)),BL87+1),"")</f>
        <v>83</v>
      </c>
      <c r="BM88" s="194" t="str" cm="1">
        <f t="array" ref="BM88">IFERROR(INDEX(B31:BC180,BL88,BN2),"")</f>
        <v/>
      </c>
      <c r="BN88" s="194" t="str" cm="1">
        <f t="array" ref="BN88">IFERROR(INDEX(B31:BC180,BL88,BO2),"")</f>
        <v/>
      </c>
      <c r="BO88" s="194" t="str" cm="1">
        <f t="array" ref="BO88">IF(IFERROR(INDEX($B$31:$BC$180,BL88,$BM$2),"")=0,"",IFERROR(INDEX($B$31:$BC$180,BL88,$BM$2),""))</f>
        <v/>
      </c>
      <c r="BP88" s="194">
        <f>IFERROR(IF(BL87+1&gt;BQ2,BP87+1,0),"")</f>
        <v>0</v>
      </c>
      <c r="BR88" s="223" t="str">
        <f t="shared" si="9"/>
        <v/>
      </c>
      <c r="BS88" s="224" t="str" cm="1">
        <f t="array" ref="BS88">INDEX(BR:BR,SMALL(IF($BR$2:$BR$101&lt;&gt;"",ROW($BR$2:$BR$101),142),ROW(BR87)))&amp;""</f>
        <v/>
      </c>
    </row>
    <row r="89" spans="1:71" ht="16.2" customHeight="1" x14ac:dyDescent="0.25">
      <c r="A89" s="178">
        <v>59</v>
      </c>
      <c r="B89" s="187"/>
      <c r="O89" s="190" t="s">
        <v>943</v>
      </c>
      <c r="P89" s="191" t="s">
        <v>985</v>
      </c>
      <c r="AF89" s="178">
        <v>14</v>
      </c>
      <c r="AG89" s="178" t="s">
        <v>1788</v>
      </c>
      <c r="AH89" s="189" t="s">
        <v>1789</v>
      </c>
      <c r="AL89" s="178">
        <v>9</v>
      </c>
      <c r="AM89" s="178" t="s">
        <v>4602</v>
      </c>
      <c r="AN89" s="189" t="s">
        <v>4608</v>
      </c>
      <c r="BC89" s="209"/>
      <c r="BH89" s="178" t="s">
        <v>815</v>
      </c>
      <c r="BI89" s="178">
        <v>54</v>
      </c>
      <c r="BJ89" s="178" cm="1">
        <f t="array" ref="BJ89">_xlfn.IFS($AI$14&gt;=15,60,$AI$14&gt;=9,59,$AI$14&gt;=5,58,$AI$14&gt;=3,57,1,0)</f>
        <v>0</v>
      </c>
      <c r="BL89" s="194">
        <f>IFERROR(IF(BL88+1&gt;BQ2,IF(BL88+1&gt;BQ2,IF(BP3+BP88&gt;BQ3,"",BP3+BP88)),BL88+1),"")</f>
        <v>84</v>
      </c>
      <c r="BM89" s="194" t="str" cm="1">
        <f t="array" ref="BM89">IFERROR(INDEX(B31:BC180,BL89,BN2),"")</f>
        <v/>
      </c>
      <c r="BN89" s="194" t="str" cm="1">
        <f t="array" ref="BN89">IFERROR(INDEX(B31:BC180,BL89,BO2),"")</f>
        <v/>
      </c>
      <c r="BO89" s="194" t="str" cm="1">
        <f t="array" ref="BO89">IF(IFERROR(INDEX($B$31:$BC$180,BL89,$BM$2),"")=0,"",IFERROR(INDEX($B$31:$BC$180,BL89,$BM$2),""))</f>
        <v/>
      </c>
      <c r="BP89" s="194">
        <f>IFERROR(IF(BL88+1&gt;BQ2,BP88+1,0),"")</f>
        <v>0</v>
      </c>
      <c r="BR89" s="223" t="str">
        <f t="shared" si="9"/>
        <v/>
      </c>
      <c r="BS89" s="224" t="str" cm="1">
        <f t="array" ref="BS89">INDEX(BR:BR,SMALL(IF($BR$2:$BR$101&lt;&gt;"",ROW($BR$2:$BR$101),142),ROW(BR88)))&amp;""</f>
        <v/>
      </c>
    </row>
    <row r="90" spans="1:71" ht="16.2" customHeight="1" x14ac:dyDescent="0.25">
      <c r="A90" s="178">
        <v>60</v>
      </c>
      <c r="B90" s="187"/>
      <c r="O90" s="190" t="s">
        <v>961</v>
      </c>
      <c r="P90" s="191" t="s">
        <v>1790</v>
      </c>
      <c r="AF90" s="178">
        <v>3</v>
      </c>
      <c r="AG90" s="190" t="s">
        <v>1791</v>
      </c>
      <c r="AH90" s="191" t="s">
        <v>1792</v>
      </c>
      <c r="AL90" s="178">
        <v>15</v>
      </c>
      <c r="AM90" s="178" t="s">
        <v>4603</v>
      </c>
      <c r="AN90" s="189" t="s">
        <v>4609</v>
      </c>
      <c r="BC90" s="209"/>
      <c r="BH90" s="178" t="s">
        <v>4511</v>
      </c>
      <c r="BI90" s="178">
        <v>61</v>
      </c>
      <c r="BJ90" s="178" cm="1">
        <f t="array" ref="BJ90">_xlfn.IFS($AI$14&gt;=15,67,$AI$14&gt;=9,66,$AI$14&gt;=5,65,$AI$14&gt;=3,64,1,0)</f>
        <v>0</v>
      </c>
      <c r="BL90" s="194">
        <f>IFERROR(IF(BL89+1&gt;BQ2,IF(BL89+1&gt;BQ2,IF(BP3+BP89&gt;BQ3,"",BP3+BP89)),BL89+1),"")</f>
        <v>85</v>
      </c>
      <c r="BM90" s="194" t="str" cm="1">
        <f t="array" ref="BM90">IFERROR(INDEX(B31:BC180,BL90,BN2),"")</f>
        <v/>
      </c>
      <c r="BN90" s="194" t="str" cm="1">
        <f t="array" ref="BN90">IFERROR(INDEX(B31:BC180,BL90,BO2),"")</f>
        <v/>
      </c>
      <c r="BO90" s="194" t="str" cm="1">
        <f t="array" ref="BO90">IF(IFERROR(INDEX($B$31:$BC$180,BL90,$BM$2),"")=0,"",IFERROR(INDEX($B$31:$BC$180,BL90,$BM$2),""))</f>
        <v/>
      </c>
      <c r="BP90" s="194">
        <f>IFERROR(IF(BL89+1&gt;BQ2,BP89+1,0),"")</f>
        <v>0</v>
      </c>
      <c r="BR90" s="223" t="str">
        <f t="shared" si="9"/>
        <v/>
      </c>
      <c r="BS90" s="224" t="str" cm="1">
        <f t="array" ref="BS90">INDEX(BR:BR,SMALL(IF($BR$2:$BR$101&lt;&gt;"",ROW($BR$2:$BR$101),142),ROW(BR89)))&amp;""</f>
        <v/>
      </c>
    </row>
    <row r="91" spans="1:71" ht="16.2" customHeight="1" x14ac:dyDescent="0.25">
      <c r="A91" s="178">
        <v>61</v>
      </c>
      <c r="B91" s="187"/>
      <c r="N91" s="178">
        <v>3</v>
      </c>
      <c r="O91" s="190" t="s">
        <v>1793</v>
      </c>
      <c r="P91" s="191" t="s">
        <v>1794</v>
      </c>
      <c r="AF91" s="178">
        <v>3</v>
      </c>
      <c r="AG91" s="190" t="s">
        <v>1795</v>
      </c>
      <c r="AH91" s="191" t="s">
        <v>1796</v>
      </c>
      <c r="AL91" s="178">
        <v>3</v>
      </c>
      <c r="AM91" s="190" t="s">
        <v>4618</v>
      </c>
      <c r="AN91" s="191" t="s">
        <v>4615</v>
      </c>
      <c r="BC91" s="209"/>
      <c r="BL91" s="194">
        <f>IFERROR(IF(BL90+1&gt;BQ2,IF(BL90+1&gt;BQ2,IF(BP3+BP90&gt;BQ3,"",BP3+BP90)),BL90+1),"")</f>
        <v>86</v>
      </c>
      <c r="BM91" s="194" t="str" cm="1">
        <f t="array" ref="BM91">IFERROR(INDEX(B31:BC180,BL91,BN2),"")</f>
        <v/>
      </c>
      <c r="BN91" s="194" t="str" cm="1">
        <f t="array" ref="BN91">IFERROR(INDEX(B31:BC180,BL91,BO2),"")</f>
        <v/>
      </c>
      <c r="BO91" s="194" t="str" cm="1">
        <f t="array" ref="BO91">IF(IFERROR(INDEX($B$31:$BC$180,BL91,$BM$2),"")=0,"",IFERROR(INDEX($B$31:$BC$180,BL91,$BM$2),""))</f>
        <v/>
      </c>
      <c r="BP91" s="194">
        <f>IFERROR(IF(BL90+1&gt;BQ2,BP90+1,0),"")</f>
        <v>0</v>
      </c>
      <c r="BR91" s="223" t="str">
        <f t="shared" si="9"/>
        <v/>
      </c>
      <c r="BS91" s="224" t="str" cm="1">
        <f t="array" ref="BS91">INDEX(BR:BR,SMALL(IF($BR$2:$BR$101&lt;&gt;"",ROW($BR$2:$BR$101),142),ROW(BR90)))&amp;""</f>
        <v/>
      </c>
    </row>
    <row r="92" spans="1:71" ht="16.2" customHeight="1" x14ac:dyDescent="0.25">
      <c r="A92" s="178">
        <v>62</v>
      </c>
      <c r="B92" s="187"/>
      <c r="N92" s="178">
        <v>7</v>
      </c>
      <c r="O92" s="190" t="s">
        <v>1797</v>
      </c>
      <c r="P92" s="191" t="s">
        <v>1798</v>
      </c>
      <c r="AF92" s="178">
        <v>6</v>
      </c>
      <c r="AG92" s="190" t="s">
        <v>1799</v>
      </c>
      <c r="AH92" s="191" t="s">
        <v>1800</v>
      </c>
      <c r="AL92" s="178">
        <v>3</v>
      </c>
      <c r="AM92" s="190" t="s">
        <v>4617</v>
      </c>
      <c r="AN92" s="191" t="s">
        <v>4616</v>
      </c>
      <c r="BC92" s="209"/>
      <c r="BL92" s="194">
        <f>IFERROR(IF(BL91+1&gt;BQ2,IF(BL91+1&gt;BQ2,IF(BP3+BP91&gt;BQ3,"",BP3+BP91)),BL91+1),"")</f>
        <v>87</v>
      </c>
      <c r="BM92" s="194" t="str" cm="1">
        <f t="array" ref="BM92">IFERROR(INDEX(B31:BC180,BL92,BN2),"")</f>
        <v/>
      </c>
      <c r="BN92" s="194" t="str" cm="1">
        <f t="array" ref="BN92">IFERROR(INDEX(B31:BC180,BL92,BO2),"")</f>
        <v/>
      </c>
      <c r="BO92" s="194" t="str" cm="1">
        <f t="array" ref="BO92">IF(IFERROR(INDEX($B$31:$BC$180,BL92,$BM$2),"")=0,"",IFERROR(INDEX($B$31:$BC$180,BL92,$BM$2),""))</f>
        <v/>
      </c>
      <c r="BP92" s="194">
        <f>IFERROR(IF(BL91+1&gt;BQ2,BP91+1,0),"")</f>
        <v>0</v>
      </c>
      <c r="BR92" s="223" t="str">
        <f t="shared" si="9"/>
        <v/>
      </c>
      <c r="BS92" s="224" t="str" cm="1">
        <f t="array" ref="BS92">INDEX(BR:BR,SMALL(IF($BR$2:$BR$101&lt;&gt;"",ROW($BR$2:$BR$101),142),ROW(BR91)))&amp;""</f>
        <v/>
      </c>
    </row>
    <row r="93" spans="1:71" ht="16.2" customHeight="1" x14ac:dyDescent="0.25">
      <c r="A93" s="178">
        <v>63</v>
      </c>
      <c r="B93" s="187"/>
      <c r="N93" s="178">
        <v>10</v>
      </c>
      <c r="O93" s="190" t="s">
        <v>1801</v>
      </c>
      <c r="P93" s="191" t="s">
        <v>1802</v>
      </c>
      <c r="AF93" s="178">
        <v>10</v>
      </c>
      <c r="AG93" s="190" t="s">
        <v>1803</v>
      </c>
      <c r="AH93" s="191" t="s">
        <v>1804</v>
      </c>
      <c r="AL93" s="178">
        <v>3</v>
      </c>
      <c r="AM93" s="190" t="s">
        <v>4610</v>
      </c>
      <c r="AN93" s="191" t="s">
        <v>4627</v>
      </c>
      <c r="BC93" s="209"/>
      <c r="BL93" s="194">
        <f>IFERROR(IF(BL92+1&gt;BQ2,IF(BL92+1&gt;BQ2,IF(BP3+BP92&gt;BQ3,"",BP3+BP92)),BL92+1),"")</f>
        <v>88</v>
      </c>
      <c r="BM93" s="194" t="str" cm="1">
        <f t="array" ref="BM93">IFERROR(INDEX(B31:BC180,BL93,BN2),"")</f>
        <v/>
      </c>
      <c r="BN93" s="194" t="str" cm="1">
        <f t="array" ref="BN93">IFERROR(INDEX(B31:BC180,BL93,BO2),"")</f>
        <v/>
      </c>
      <c r="BO93" s="194" t="str" cm="1">
        <f t="array" ref="BO93">IF(IFERROR(INDEX($B$31:$BC$180,BL93,$BM$2),"")=0,"",IFERROR(INDEX($B$31:$BC$180,BL93,$BM$2),""))</f>
        <v/>
      </c>
      <c r="BP93" s="194">
        <f>IFERROR(IF(BL92+1&gt;BQ2,BP92+1,0),"")</f>
        <v>0</v>
      </c>
      <c r="BR93" s="223" t="str">
        <f t="shared" si="9"/>
        <v/>
      </c>
      <c r="BS93" s="224" t="str" cm="1">
        <f t="array" ref="BS93">INDEX(BR:BR,SMALL(IF($BR$2:$BR$101&lt;&gt;"",ROW($BR$2:$BR$101),142),ROW(BR92)))&amp;""</f>
        <v/>
      </c>
    </row>
    <row r="94" spans="1:71" ht="16.2" customHeight="1" x14ac:dyDescent="0.25">
      <c r="A94" s="178">
        <v>64</v>
      </c>
      <c r="B94" s="187"/>
      <c r="N94" s="178">
        <v>15</v>
      </c>
      <c r="O94" s="190" t="s">
        <v>1805</v>
      </c>
      <c r="P94" s="191" t="s">
        <v>1806</v>
      </c>
      <c r="AF94" s="178">
        <v>14</v>
      </c>
      <c r="AG94" s="190" t="s">
        <v>1807</v>
      </c>
      <c r="AH94" s="191" t="s">
        <v>1808</v>
      </c>
      <c r="AL94" s="178">
        <v>3</v>
      </c>
      <c r="AM94" s="190" t="s">
        <v>4611</v>
      </c>
      <c r="AN94" s="191" t="s">
        <v>4628</v>
      </c>
      <c r="BC94" s="209"/>
      <c r="BL94" s="194">
        <f>IFERROR(IF(BL93+1&gt;BQ2,IF(BL93+1&gt;BQ2,IF(BP3+BP93&gt;BQ3,"",BP3+BP93)),BL93+1),"")</f>
        <v>89</v>
      </c>
      <c r="BM94" s="194" t="str" cm="1">
        <f t="array" ref="BM94">IFERROR(INDEX(B31:BC180,BL94,BN2),"")</f>
        <v/>
      </c>
      <c r="BN94" s="194" t="str" cm="1">
        <f t="array" ref="BN94">IFERROR(INDEX(B31:BC180,BL94,BO2),"")</f>
        <v/>
      </c>
      <c r="BO94" s="194" t="str" cm="1">
        <f t="array" ref="BO94">IF(IFERROR(INDEX($B$31:$BC$180,BL94,$BM$2),"")=0,"",IFERROR(INDEX($B$31:$BC$180,BL94,$BM$2),""))</f>
        <v/>
      </c>
      <c r="BP94" s="194">
        <f>IFERROR(IF(BL93+1&gt;BQ2,BP93+1,0),"")</f>
        <v>0</v>
      </c>
      <c r="BR94" s="223" t="str">
        <f t="shared" si="9"/>
        <v/>
      </c>
      <c r="BS94" s="224" t="str" cm="1">
        <f t="array" ref="BS94">INDEX(BR:BR,SMALL(IF($BR$2:$BR$101&lt;&gt;"",ROW($BR$2:$BR$101),142),ROW(BR93)))&amp;""</f>
        <v/>
      </c>
    </row>
    <row r="95" spans="1:71" ht="16.2" customHeight="1" x14ac:dyDescent="0.25">
      <c r="A95" s="178">
        <v>65</v>
      </c>
      <c r="B95" s="187"/>
      <c r="N95" s="178">
        <v>18</v>
      </c>
      <c r="O95" s="190" t="s">
        <v>1809</v>
      </c>
      <c r="P95" s="191" t="s">
        <v>1810</v>
      </c>
      <c r="AF95" s="178">
        <v>3</v>
      </c>
      <c r="AG95" s="178" t="s">
        <v>1811</v>
      </c>
      <c r="AH95" s="189" t="s">
        <v>1812</v>
      </c>
      <c r="AL95" s="178">
        <v>5</v>
      </c>
      <c r="AM95" s="190" t="s">
        <v>4612</v>
      </c>
      <c r="AN95" s="191" t="s">
        <v>4629</v>
      </c>
      <c r="BC95" s="209"/>
      <c r="BL95" s="194">
        <f>IFERROR(IF(BL94+1&gt;BQ2,IF(BL94+1&gt;BQ2,IF(BP3+BP94&gt;BQ3,"",BP3+BP94)),BL94+1),"")</f>
        <v>90</v>
      </c>
      <c r="BM95" s="194" t="str" cm="1">
        <f t="array" ref="BM95">IFERROR(INDEX(B31:BC180,BL95,BN2),"")</f>
        <v/>
      </c>
      <c r="BN95" s="194" t="str" cm="1">
        <f t="array" ref="BN95">IFERROR(INDEX(B31:BC180,BL95,BO2),"")</f>
        <v/>
      </c>
      <c r="BO95" s="194" t="str" cm="1">
        <f t="array" ref="BO95">IF(IFERROR(INDEX($B$31:$BC$180,BL95,$BM$2),"")=0,"",IFERROR(INDEX($B$31:$BC$180,BL95,$BM$2),""))</f>
        <v/>
      </c>
      <c r="BP95" s="194">
        <f>IFERROR(IF(BL94+1&gt;BQ2,BP94+1,0),"")</f>
        <v>0</v>
      </c>
      <c r="BR95" s="223" t="str">
        <f t="shared" si="9"/>
        <v/>
      </c>
      <c r="BS95" s="224" t="str" cm="1">
        <f t="array" ref="BS95">INDEX(BR:BR,SMALL(IF($BR$2:$BR$101&lt;&gt;"",ROW($BR$2:$BR$101),142),ROW(BR94)))&amp;""</f>
        <v/>
      </c>
    </row>
    <row r="96" spans="1:71" ht="16.2" customHeight="1" x14ac:dyDescent="0.25">
      <c r="A96" s="178">
        <v>66</v>
      </c>
      <c r="B96" s="187"/>
      <c r="N96" s="178">
        <v>3</v>
      </c>
      <c r="O96" s="178" t="s">
        <v>1593</v>
      </c>
      <c r="P96" s="189" t="s">
        <v>1813</v>
      </c>
      <c r="AF96" s="178">
        <v>3</v>
      </c>
      <c r="AG96" s="178" t="s">
        <v>1814</v>
      </c>
      <c r="AH96" s="189" t="s">
        <v>1815</v>
      </c>
      <c r="AL96" s="178">
        <v>9</v>
      </c>
      <c r="AM96" s="190" t="s">
        <v>4613</v>
      </c>
      <c r="AN96" s="191" t="s">
        <v>4630</v>
      </c>
      <c r="BC96" s="209"/>
      <c r="BL96" s="194">
        <f>IFERROR(IF(BL95+1&gt;BQ2,IF(BL95+1&gt;BQ2,IF(BP3+BP95&gt;BQ3,"",BP3+BP95)),BL95+1),"")</f>
        <v>91</v>
      </c>
      <c r="BM96" s="194" t="str" cm="1">
        <f t="array" ref="BM96">IFERROR(INDEX(B31:BC180,BL96,BN2),"")</f>
        <v/>
      </c>
      <c r="BN96" s="194" t="str" cm="1">
        <f t="array" ref="BN96">IFERROR(INDEX(B31:BC180,BL96,BO2),"")</f>
        <v/>
      </c>
      <c r="BO96" s="194" t="str" cm="1">
        <f t="array" ref="BO96">IF(IFERROR(INDEX($B$31:$BC$180,BL96,$BM$2),"")=0,"",IFERROR(INDEX($B$31:$BC$180,BL96,$BM$2),""))</f>
        <v/>
      </c>
      <c r="BP96" s="194">
        <f>IFERROR(IF(BL95+1&gt;BQ2,BP95+1,0),"")</f>
        <v>0</v>
      </c>
      <c r="BR96" s="223" t="str">
        <f t="shared" si="9"/>
        <v/>
      </c>
      <c r="BS96" s="224" t="str" cm="1">
        <f t="array" ref="BS96">INDEX(BR:BR,SMALL(IF($BR$2:$BR$101&lt;&gt;"",ROW($BR$2:$BR$101),142),ROW(BR95)))&amp;""</f>
        <v/>
      </c>
    </row>
    <row r="97" spans="1:71" ht="16.2" customHeight="1" x14ac:dyDescent="0.25">
      <c r="A97" s="178">
        <v>67</v>
      </c>
      <c r="B97" s="187"/>
      <c r="N97" s="178">
        <v>7</v>
      </c>
      <c r="O97" s="178" t="s">
        <v>1816</v>
      </c>
      <c r="P97" s="189" t="s">
        <v>1817</v>
      </c>
      <c r="AF97" s="178">
        <v>3</v>
      </c>
      <c r="AG97" s="178" t="s">
        <v>1818</v>
      </c>
      <c r="AH97" s="189" t="s">
        <v>1819</v>
      </c>
      <c r="AL97" s="178">
        <v>15</v>
      </c>
      <c r="AM97" s="190" t="s">
        <v>4614</v>
      </c>
      <c r="AN97" s="191" t="s">
        <v>4631</v>
      </c>
      <c r="BC97" s="209"/>
      <c r="BL97" s="194">
        <f>IFERROR(IF(BL96+1&gt;BQ2,IF(BL96+1&gt;BQ2,IF(BP3+BP96&gt;BQ3,"",BP3+BP96)),BL96+1),"")</f>
        <v>92</v>
      </c>
      <c r="BM97" s="194" t="str" cm="1">
        <f t="array" ref="BM97">IFERROR(INDEX(B31:BC180,BL97,BN2),"")</f>
        <v/>
      </c>
      <c r="BN97" s="194" t="str" cm="1">
        <f t="array" ref="BN97">IFERROR(INDEX(B31:BC180,BL97,BO2),"")</f>
        <v/>
      </c>
      <c r="BO97" s="194" t="str" cm="1">
        <f t="array" ref="BO97">IF(IFERROR(INDEX($B$31:$BC$180,BL97,$BM$2),"")=0,"",IFERROR(INDEX($B$31:$BC$180,BL97,$BM$2),""))</f>
        <v/>
      </c>
      <c r="BP97" s="194">
        <f>IFERROR(IF(BL96+1&gt;BQ2,BP96+1,0),"")</f>
        <v>0</v>
      </c>
      <c r="BR97" s="223" t="str">
        <f t="shared" si="9"/>
        <v/>
      </c>
      <c r="BS97" s="224" t="str" cm="1">
        <f t="array" ref="BS97">INDEX(BR:BR,SMALL(IF($BR$2:$BR$101&lt;&gt;"",ROW($BR$2:$BR$101),142),ROW(BR96)))&amp;""</f>
        <v/>
      </c>
    </row>
    <row r="98" spans="1:71" ht="16.2" customHeight="1" x14ac:dyDescent="0.25">
      <c r="A98" s="178">
        <v>68</v>
      </c>
      <c r="B98" s="187"/>
      <c r="N98" s="178">
        <v>10</v>
      </c>
      <c r="O98" s="178" t="s">
        <v>1820</v>
      </c>
      <c r="P98" s="189" t="s">
        <v>1821</v>
      </c>
      <c r="AF98" s="178">
        <v>6</v>
      </c>
      <c r="AG98" s="178" t="s">
        <v>1822</v>
      </c>
      <c r="AH98" s="189" t="s">
        <v>1823</v>
      </c>
      <c r="BC98" s="209"/>
      <c r="BL98" s="194">
        <f>IFERROR(IF(BL97+1&gt;BQ2,IF(BL97+1&gt;BQ2,IF(BP3+BP97&gt;BQ3,"",BP3+BP97)),BL97+1),"")</f>
        <v>93</v>
      </c>
      <c r="BM98" s="194" t="str" cm="1">
        <f t="array" ref="BM98">IFERROR(INDEX(B31:BC180,BL98,BN2),"")</f>
        <v/>
      </c>
      <c r="BN98" s="194" t="str" cm="1">
        <f t="array" ref="BN98">IFERROR(INDEX(B31:BC180,BL98,BO2),"")</f>
        <v/>
      </c>
      <c r="BO98" s="194" t="str" cm="1">
        <f t="array" ref="BO98">IF(IFERROR(INDEX($B$31:$BC$180,BL98,$BM$2),"")=0,"",IFERROR(INDEX($B$31:$BC$180,BL98,$BM$2),""))</f>
        <v/>
      </c>
      <c r="BP98" s="194">
        <f>IFERROR(IF(BL97+1&gt;BQ2,BP97+1,0),"")</f>
        <v>0</v>
      </c>
      <c r="BR98" s="223" t="str">
        <f t="shared" ref="BR98:BR101" si="10">IFERROR(IF(OR(BM102="",COUNTIF($BU$2:$BU$58,BM102)),"",BM102),"")</f>
        <v/>
      </c>
      <c r="BS98" s="224" t="str" cm="1">
        <f t="array" ref="BS98">INDEX(BR:BR,SMALL(IF($BR$2:$BR$101&lt;&gt;"",ROW($BR$2:$BR$101),142),ROW(BR97)))&amp;""</f>
        <v/>
      </c>
    </row>
    <row r="99" spans="1:71" ht="16.2" customHeight="1" x14ac:dyDescent="0.25">
      <c r="A99" s="178">
        <v>69</v>
      </c>
      <c r="B99" s="187"/>
      <c r="N99" s="178">
        <v>15</v>
      </c>
      <c r="O99" s="178" t="s">
        <v>1824</v>
      </c>
      <c r="P99" s="189" t="s">
        <v>1825</v>
      </c>
      <c r="AF99" s="178">
        <v>10</v>
      </c>
      <c r="AG99" s="178" t="s">
        <v>1826</v>
      </c>
      <c r="AH99" s="189" t="s">
        <v>1827</v>
      </c>
      <c r="BC99" s="209"/>
      <c r="BL99" s="194">
        <f>IFERROR(IF(BL98+1&gt;BQ2,IF(BL98+1&gt;BQ2,IF(BP3+BP98&gt;BQ3,"",BP3+BP98)),BL98+1),"")</f>
        <v>94</v>
      </c>
      <c r="BM99" s="194" t="str" cm="1">
        <f t="array" ref="BM99">IFERROR(INDEX(B31:BC180,BL99,BN2),"")</f>
        <v/>
      </c>
      <c r="BN99" s="194" t="str" cm="1">
        <f t="array" ref="BN99">IFERROR(INDEX(B31:BC180,BL99,BO2),"")</f>
        <v/>
      </c>
      <c r="BO99" s="194" t="str" cm="1">
        <f t="array" ref="BO99">IF(IFERROR(INDEX($B$31:$BC$180,BL99,$BM$2),"")=0,"",IFERROR(INDEX($B$31:$BC$180,BL99,$BM$2),""))</f>
        <v/>
      </c>
      <c r="BP99" s="194">
        <f>IFERROR(IF(BL98+1&gt;BQ2,BP98+1,0),"")</f>
        <v>0</v>
      </c>
      <c r="BR99" s="223" t="str">
        <f t="shared" si="10"/>
        <v/>
      </c>
      <c r="BS99" s="224" t="str" cm="1">
        <f t="array" ref="BS99">INDEX(BR:BR,SMALL(IF($BR$2:$BR$101&lt;&gt;"",ROW($BR$2:$BR$101),142),ROW(BR98)))&amp;""</f>
        <v/>
      </c>
    </row>
    <row r="100" spans="1:71" ht="16.2" customHeight="1" x14ac:dyDescent="0.25">
      <c r="A100" s="178">
        <v>70</v>
      </c>
      <c r="B100" s="187"/>
      <c r="N100" s="178">
        <v>18</v>
      </c>
      <c r="O100" s="178" t="s">
        <v>1828</v>
      </c>
      <c r="P100" s="189" t="s">
        <v>1829</v>
      </c>
      <c r="AF100" s="178">
        <v>10</v>
      </c>
      <c r="AG100" s="178" t="s">
        <v>1830</v>
      </c>
      <c r="AH100" s="189" t="s">
        <v>1831</v>
      </c>
      <c r="BC100" s="209"/>
      <c r="BL100" s="194">
        <f>IFERROR(IF(BL99+1&gt;BQ2,IF(BL99+1&gt;BQ2,IF(BP3+BP99&gt;BQ3,"",BP3+BP99)),BL99+1),"")</f>
        <v>95</v>
      </c>
      <c r="BM100" s="194" t="str" cm="1">
        <f t="array" ref="BM100">IFERROR(INDEX(B31:BC180,BL100,BN2),"")</f>
        <v/>
      </c>
      <c r="BN100" s="194" t="str" cm="1">
        <f t="array" ref="BN100">IFERROR(INDEX(B31:BC180,BL100,BO2),"")</f>
        <v/>
      </c>
      <c r="BO100" s="194" t="str" cm="1">
        <f t="array" ref="BO100">IF(IFERROR(INDEX($B$31:$BC$180,BL100,$BM$2),"")=0,"",IFERROR(INDEX($B$31:$BC$180,BL100,$BM$2),""))</f>
        <v/>
      </c>
      <c r="BP100" s="194">
        <f>IFERROR(IF(BL99+1&gt;BQ2,BP99+1,0),"")</f>
        <v>0</v>
      </c>
      <c r="BR100" s="223" t="str">
        <f t="shared" si="10"/>
        <v/>
      </c>
      <c r="BS100" s="224" t="str" cm="1">
        <f t="array" ref="BS100">INDEX(BR:BR,SMALL(IF($BR$2:$BR$101&lt;&gt;"",ROW($BR$2:$BR$101),142),ROW(BR99)))&amp;""</f>
        <v/>
      </c>
    </row>
    <row r="101" spans="1:71" ht="16.2" customHeight="1" x14ac:dyDescent="0.25">
      <c r="A101" s="178">
        <v>71</v>
      </c>
      <c r="B101" s="187"/>
      <c r="N101" s="178">
        <v>3</v>
      </c>
      <c r="O101" s="190" t="s">
        <v>4439</v>
      </c>
      <c r="P101" s="191" t="s">
        <v>4440</v>
      </c>
      <c r="AF101" s="178">
        <v>14</v>
      </c>
      <c r="AG101" s="178" t="s">
        <v>1832</v>
      </c>
      <c r="AH101" s="189" t="s">
        <v>1833</v>
      </c>
      <c r="BC101" s="209"/>
      <c r="BL101" s="194">
        <f>IFERROR(IF(BL100+1&gt;BQ2,IF(BL100+1&gt;BQ2,IF(BP3+BP100&gt;BQ3,"",BP3+BP100)),BL100+1),"")</f>
        <v>96</v>
      </c>
      <c r="BM101" s="194" t="str" cm="1">
        <f t="array" ref="BM101">IFERROR(INDEX(B31:BC180,BL101,BN2),"")</f>
        <v/>
      </c>
      <c r="BN101" s="194" t="str" cm="1">
        <f t="array" ref="BN101">IFERROR(INDEX(B31:BC180,BL101,BO2),"")</f>
        <v/>
      </c>
      <c r="BO101" s="194" t="str" cm="1">
        <f t="array" ref="BO101">IF(IFERROR(INDEX($B$31:$BC$180,BL101,$BM$2),"")=0,"",IFERROR(INDEX($B$31:$BC$180,BL101,$BM$2),""))</f>
        <v/>
      </c>
      <c r="BP101" s="194">
        <f>IFERROR(IF(BL100+1&gt;BQ2,BP100+1,0),"")</f>
        <v>0</v>
      </c>
      <c r="BR101" s="226" t="str">
        <f t="shared" si="10"/>
        <v/>
      </c>
      <c r="BS101" s="227" t="str" cm="1">
        <f t="array" ref="BS101">INDEX(BR:BR,SMALL(IF($BR$2:$BR$101&lt;&gt;"",ROW($BR$2:$BR$101),142),ROW(BR100)))&amp;""</f>
        <v/>
      </c>
    </row>
    <row r="102" spans="1:71" ht="16.2" customHeight="1" x14ac:dyDescent="0.25">
      <c r="A102" s="178">
        <v>72</v>
      </c>
      <c r="B102" s="187"/>
      <c r="N102" s="178">
        <v>3</v>
      </c>
      <c r="O102" s="190" t="s">
        <v>4441</v>
      </c>
      <c r="P102" s="191" t="s">
        <v>4442</v>
      </c>
      <c r="BC102" s="209"/>
      <c r="BL102" s="194">
        <f>IFERROR(IF(BL101+1&gt;BQ2,IF(BL101+1&gt;BQ2,IF(BP3+BP101&gt;BQ3,"",BP3+BP101)),BL101+1),"")</f>
        <v>97</v>
      </c>
      <c r="BM102" s="194" t="str" cm="1">
        <f t="array" ref="BM102">IFERROR(INDEX(B31:BC180,BL102,BN2),"")</f>
        <v/>
      </c>
      <c r="BN102" s="194" t="str" cm="1">
        <f t="array" ref="BN102">IFERROR(INDEX(B31:BC180,BL102,BO2),"")</f>
        <v/>
      </c>
      <c r="BO102" s="194" t="str" cm="1">
        <f t="array" ref="BO102">IF(IFERROR(INDEX($B$31:$BC$180,BL102,$BM$2),"")=0,"",IFERROR(INDEX($B$31:$BC$180,BL102,$BM$2),""))</f>
        <v/>
      </c>
      <c r="BP102" s="194">
        <f>IFERROR(IF(BL101+1&gt;BQ2,BP101+1,0),"")</f>
        <v>0</v>
      </c>
    </row>
    <row r="103" spans="1:71" ht="16.2" customHeight="1" x14ac:dyDescent="0.25">
      <c r="A103" s="178">
        <v>73</v>
      </c>
      <c r="B103" s="187"/>
      <c r="N103" s="178">
        <v>7</v>
      </c>
      <c r="O103" s="190" t="s">
        <v>4443</v>
      </c>
      <c r="P103" s="191" t="s">
        <v>4444</v>
      </c>
      <c r="BC103" s="209"/>
      <c r="BL103" s="194">
        <f>IFERROR(IF(BL102+1&gt;BQ2,IF(BL102+1&gt;BQ2,IF(BP3+BP102&gt;BQ3,"",BP3+BP102)),BL102+1),"")</f>
        <v>98</v>
      </c>
      <c r="BM103" s="194" t="str" cm="1">
        <f t="array" ref="BM103">IFERROR(INDEX(B31:BC180,BL103,BN2),"")</f>
        <v/>
      </c>
      <c r="BN103" s="194" t="str" cm="1">
        <f t="array" ref="BN103">IFERROR(INDEX(B31:BC180,BL103,BO2),"")</f>
        <v/>
      </c>
      <c r="BO103" s="194" t="str" cm="1">
        <f t="array" ref="BO103">IF(IFERROR(INDEX($B$31:$BC$180,BL103,$BM$2),"")=0,"",IFERROR(INDEX($B$31:$BC$180,BL103,$BM$2),""))</f>
        <v/>
      </c>
      <c r="BP103" s="194">
        <f>IFERROR(IF(BL102+1&gt;BQ2,BP102+1,0),"")</f>
        <v>0</v>
      </c>
    </row>
    <row r="104" spans="1:71" ht="16.2" customHeight="1" x14ac:dyDescent="0.25">
      <c r="A104" s="178">
        <v>74</v>
      </c>
      <c r="B104" s="187"/>
      <c r="N104" s="178">
        <v>10</v>
      </c>
      <c r="O104" s="190" t="s">
        <v>4445</v>
      </c>
      <c r="P104" s="191" t="s">
        <v>4446</v>
      </c>
      <c r="BC104" s="209"/>
      <c r="BL104" s="194">
        <f>IFERROR(IF(BL103+1&gt;BQ2,IF(BL103+1&gt;BQ2,IF(BP3+BP103&gt;BQ3,"",BP3+BP103)),BL103+1),"")</f>
        <v>99</v>
      </c>
      <c r="BM104" s="194" t="str" cm="1">
        <f t="array" ref="BM104">IFERROR(INDEX(B31:BC180,BL104,BN2),"")</f>
        <v/>
      </c>
      <c r="BN104" s="194" t="str" cm="1">
        <f t="array" ref="BN104">IFERROR(INDEX(B31:BC180,BL104,BO2),"")</f>
        <v/>
      </c>
      <c r="BO104" s="194" t="str" cm="1">
        <f t="array" ref="BO104">IF(IFERROR(INDEX($B$31:$BC$180,BL104,$BM$2),"")=0,"",IFERROR(INDEX($B$31:$BC$180,BL104,$BM$2),""))</f>
        <v/>
      </c>
      <c r="BP104" s="194">
        <f>IFERROR(IF(BL103+1&gt;BQ2,BP103+1,0),"")</f>
        <v>0</v>
      </c>
    </row>
    <row r="105" spans="1:71" ht="16.2" customHeight="1" x14ac:dyDescent="0.25">
      <c r="A105" s="178">
        <v>75</v>
      </c>
      <c r="B105" s="187"/>
      <c r="N105" s="178">
        <v>15</v>
      </c>
      <c r="O105" s="190" t="s">
        <v>4447</v>
      </c>
      <c r="P105" s="191" t="s">
        <v>4448</v>
      </c>
      <c r="BC105" s="209"/>
      <c r="BL105" s="194">
        <f>IFERROR(IF(BL104+1&gt;BQ2,IF(BL104+1&gt;BQ2,IF(BP3+BP104&gt;BQ3,"",BP3+BP104)),BL104+1),"")</f>
        <v>100</v>
      </c>
      <c r="BM105" s="194" t="str" cm="1">
        <f t="array" ref="BM105">IFERROR(INDEX(B31:BC180,BL105,BN2),"")</f>
        <v/>
      </c>
      <c r="BN105" s="194" t="str" cm="1">
        <f t="array" ref="BN105">IFERROR(INDEX(B31:BC180,BL105,BO2),"")</f>
        <v/>
      </c>
      <c r="BO105" s="194" t="str" cm="1">
        <f t="array" ref="BO105">IF(IFERROR(INDEX($B$31:$BC$180,BL105,$BM$2),"")=0,"",IFERROR(INDEX($B$31:$BC$180,BL105,$BM$2),""))</f>
        <v/>
      </c>
      <c r="BP105" s="194">
        <f>IFERROR(IF(BL104+1&gt;BQ2,BP104+1,0),"")</f>
        <v>0</v>
      </c>
    </row>
    <row r="106" spans="1:71" ht="16.2" customHeight="1" x14ac:dyDescent="0.25">
      <c r="A106" s="178">
        <v>76</v>
      </c>
      <c r="B106" s="187"/>
      <c r="N106" s="178">
        <v>18</v>
      </c>
      <c r="O106" s="190" t="s">
        <v>4449</v>
      </c>
      <c r="P106" s="191" t="s">
        <v>4450</v>
      </c>
      <c r="BC106" s="209"/>
    </row>
    <row r="107" spans="1:71" ht="16.2" customHeight="1" x14ac:dyDescent="0.25">
      <c r="A107" s="178">
        <v>77</v>
      </c>
      <c r="B107" s="187"/>
      <c r="BC107" s="209"/>
    </row>
    <row r="108" spans="1:71" ht="16.2" customHeight="1" x14ac:dyDescent="0.25">
      <c r="A108" s="178">
        <v>78</v>
      </c>
      <c r="B108" s="187"/>
      <c r="BC108" s="209"/>
    </row>
    <row r="109" spans="1:71" ht="16.2" customHeight="1" x14ac:dyDescent="0.25">
      <c r="A109" s="178">
        <v>79</v>
      </c>
      <c r="B109" s="187"/>
      <c r="BC109" s="209"/>
    </row>
    <row r="110" spans="1:71" ht="16.2" customHeight="1" x14ac:dyDescent="0.25">
      <c r="A110" s="178">
        <v>80</v>
      </c>
      <c r="B110" s="187"/>
      <c r="BC110" s="209"/>
    </row>
    <row r="111" spans="1:71" ht="16.2" customHeight="1" x14ac:dyDescent="0.25">
      <c r="A111" s="178">
        <v>81</v>
      </c>
      <c r="B111" s="187"/>
      <c r="BC111" s="209"/>
    </row>
    <row r="112" spans="1:71" ht="16.2" customHeight="1" x14ac:dyDescent="0.25">
      <c r="A112" s="178">
        <v>82</v>
      </c>
      <c r="B112" s="187"/>
      <c r="BC112" s="209"/>
    </row>
    <row r="113" spans="1:55" ht="16.2" customHeight="1" x14ac:dyDescent="0.25">
      <c r="A113" s="178">
        <v>83</v>
      </c>
      <c r="B113" s="187"/>
      <c r="BC113" s="209"/>
    </row>
    <row r="114" spans="1:55" ht="16.2" customHeight="1" x14ac:dyDescent="0.25">
      <c r="A114" s="178">
        <v>84</v>
      </c>
      <c r="B114" s="187"/>
      <c r="BC114" s="209"/>
    </row>
    <row r="115" spans="1:55" ht="16.2" customHeight="1" x14ac:dyDescent="0.25">
      <c r="A115" s="178">
        <v>85</v>
      </c>
      <c r="B115" s="187"/>
      <c r="BC115" s="209"/>
    </row>
    <row r="116" spans="1:55" ht="16.2" customHeight="1" x14ac:dyDescent="0.25">
      <c r="A116" s="178">
        <v>86</v>
      </c>
      <c r="B116" s="187"/>
      <c r="BC116" s="209"/>
    </row>
    <row r="117" spans="1:55" ht="16.2" customHeight="1" x14ac:dyDescent="0.25">
      <c r="A117" s="178">
        <v>87</v>
      </c>
      <c r="B117" s="187"/>
      <c r="BC117" s="209"/>
    </row>
    <row r="118" spans="1:55" ht="16.2" customHeight="1" x14ac:dyDescent="0.25">
      <c r="A118" s="178">
        <v>88</v>
      </c>
      <c r="B118" s="187"/>
      <c r="BC118" s="209"/>
    </row>
    <row r="119" spans="1:55" ht="16.2" customHeight="1" x14ac:dyDescent="0.25">
      <c r="A119" s="178">
        <v>89</v>
      </c>
      <c r="B119" s="187"/>
      <c r="BC119" s="209"/>
    </row>
    <row r="120" spans="1:55" ht="16.2" customHeight="1" x14ac:dyDescent="0.25">
      <c r="A120" s="178">
        <v>90</v>
      </c>
      <c r="B120" s="187"/>
      <c r="BC120" s="209"/>
    </row>
    <row r="121" spans="1:55" ht="16.2" customHeight="1" x14ac:dyDescent="0.25">
      <c r="A121" s="178">
        <v>91</v>
      </c>
      <c r="B121" s="187"/>
      <c r="BC121" s="209"/>
    </row>
    <row r="122" spans="1:55" ht="16.2" customHeight="1" x14ac:dyDescent="0.25">
      <c r="A122" s="178">
        <v>92</v>
      </c>
      <c r="B122" s="187"/>
      <c r="BC122" s="209"/>
    </row>
    <row r="123" spans="1:55" ht="16.2" customHeight="1" x14ac:dyDescent="0.25">
      <c r="A123" s="178">
        <v>93</v>
      </c>
      <c r="B123" s="187"/>
      <c r="BC123" s="209"/>
    </row>
    <row r="124" spans="1:55" ht="16.2" customHeight="1" x14ac:dyDescent="0.25">
      <c r="A124" s="178">
        <v>94</v>
      </c>
      <c r="B124" s="187"/>
      <c r="BC124" s="209"/>
    </row>
    <row r="125" spans="1:55" ht="16.2" customHeight="1" x14ac:dyDescent="0.25">
      <c r="A125" s="178">
        <v>95</v>
      </c>
      <c r="B125" s="187"/>
      <c r="BC125" s="209"/>
    </row>
    <row r="126" spans="1:55" ht="16.2" customHeight="1" x14ac:dyDescent="0.25">
      <c r="A126" s="178">
        <v>96</v>
      </c>
      <c r="B126" s="187"/>
      <c r="BC126" s="209"/>
    </row>
    <row r="127" spans="1:55" ht="16.2" customHeight="1" x14ac:dyDescent="0.25">
      <c r="A127" s="178">
        <v>97</v>
      </c>
      <c r="B127" s="187"/>
      <c r="BC127" s="209"/>
    </row>
    <row r="128" spans="1:55" ht="16.2" customHeight="1" x14ac:dyDescent="0.25">
      <c r="A128" s="178">
        <v>98</v>
      </c>
      <c r="B128" s="187"/>
      <c r="BC128" s="209"/>
    </row>
    <row r="129" spans="1:55" ht="16.2" customHeight="1" x14ac:dyDescent="0.25">
      <c r="A129" s="178">
        <v>99</v>
      </c>
      <c r="B129" s="187"/>
      <c r="BC129" s="209"/>
    </row>
    <row r="130" spans="1:55" ht="16.2" customHeight="1" x14ac:dyDescent="0.25">
      <c r="A130" s="178">
        <v>100</v>
      </c>
      <c r="B130" s="187"/>
      <c r="BC130" s="209"/>
    </row>
    <row r="131" spans="1:55" ht="16.2" customHeight="1" x14ac:dyDescent="0.25">
      <c r="A131" s="178">
        <v>101</v>
      </c>
      <c r="B131" s="187"/>
      <c r="BC131" s="209"/>
    </row>
    <row r="132" spans="1:55" ht="16.2" customHeight="1" x14ac:dyDescent="0.25">
      <c r="A132" s="178">
        <v>102</v>
      </c>
      <c r="B132" s="187"/>
      <c r="BC132" s="209"/>
    </row>
    <row r="133" spans="1:55" ht="16.2" customHeight="1" x14ac:dyDescent="0.25">
      <c r="A133" s="178">
        <v>103</v>
      </c>
      <c r="B133" s="187"/>
      <c r="BC133" s="209"/>
    </row>
    <row r="134" spans="1:55" ht="16.2" customHeight="1" x14ac:dyDescent="0.25">
      <c r="A134" s="178">
        <v>104</v>
      </c>
      <c r="B134" s="187"/>
      <c r="BC134" s="209"/>
    </row>
    <row r="135" spans="1:55" ht="16.2" customHeight="1" x14ac:dyDescent="0.25">
      <c r="A135" s="178">
        <v>105</v>
      </c>
      <c r="B135" s="187"/>
      <c r="BC135" s="209"/>
    </row>
    <row r="136" spans="1:55" ht="16.2" customHeight="1" x14ac:dyDescent="0.25">
      <c r="A136" s="178">
        <v>106</v>
      </c>
      <c r="B136" s="187"/>
      <c r="BC136" s="209"/>
    </row>
    <row r="137" spans="1:55" ht="16.2" customHeight="1" x14ac:dyDescent="0.25">
      <c r="A137" s="178">
        <v>107</v>
      </c>
      <c r="B137" s="187"/>
      <c r="BC137" s="209"/>
    </row>
    <row r="138" spans="1:55" ht="16.2" customHeight="1" x14ac:dyDescent="0.25">
      <c r="A138" s="178">
        <v>108</v>
      </c>
      <c r="B138" s="187"/>
      <c r="BC138" s="209"/>
    </row>
    <row r="139" spans="1:55" ht="16.2" customHeight="1" x14ac:dyDescent="0.25">
      <c r="A139" s="178">
        <v>109</v>
      </c>
      <c r="B139" s="187"/>
      <c r="BC139" s="209"/>
    </row>
    <row r="140" spans="1:55" ht="16.2" customHeight="1" x14ac:dyDescent="0.25">
      <c r="A140" s="178">
        <v>110</v>
      </c>
      <c r="B140" s="187"/>
      <c r="BC140" s="209"/>
    </row>
    <row r="141" spans="1:55" ht="16.2" customHeight="1" x14ac:dyDescent="0.25">
      <c r="A141" s="178">
        <v>111</v>
      </c>
      <c r="B141" s="187"/>
      <c r="BC141" s="209"/>
    </row>
    <row r="142" spans="1:55" ht="16.2" customHeight="1" x14ac:dyDescent="0.25">
      <c r="A142" s="178">
        <v>112</v>
      </c>
      <c r="B142" s="187"/>
      <c r="BC142" s="209"/>
    </row>
    <row r="143" spans="1:55" ht="16.2" customHeight="1" x14ac:dyDescent="0.25">
      <c r="A143" s="178">
        <v>113</v>
      </c>
      <c r="B143" s="187"/>
      <c r="BC143" s="209"/>
    </row>
    <row r="144" spans="1:55" ht="16.2" customHeight="1" x14ac:dyDescent="0.25">
      <c r="A144" s="178">
        <v>114</v>
      </c>
      <c r="B144" s="187"/>
      <c r="BC144" s="209"/>
    </row>
    <row r="145" spans="1:55" ht="16.2" customHeight="1" x14ac:dyDescent="0.25">
      <c r="A145" s="178">
        <v>115</v>
      </c>
      <c r="B145" s="187"/>
      <c r="BC145" s="209"/>
    </row>
    <row r="146" spans="1:55" ht="16.2" customHeight="1" x14ac:dyDescent="0.25">
      <c r="A146" s="178">
        <v>116</v>
      </c>
      <c r="B146" s="187"/>
      <c r="BC146" s="209"/>
    </row>
    <row r="147" spans="1:55" ht="16.2" customHeight="1" x14ac:dyDescent="0.25">
      <c r="A147" s="178">
        <v>117</v>
      </c>
      <c r="B147" s="187"/>
      <c r="BC147" s="209"/>
    </row>
    <row r="148" spans="1:55" ht="16.2" customHeight="1" x14ac:dyDescent="0.25">
      <c r="A148" s="178">
        <v>118</v>
      </c>
      <c r="B148" s="187"/>
      <c r="BC148" s="209"/>
    </row>
    <row r="149" spans="1:55" ht="16.2" customHeight="1" x14ac:dyDescent="0.25">
      <c r="A149" s="178">
        <v>119</v>
      </c>
      <c r="B149" s="187"/>
      <c r="BC149" s="209"/>
    </row>
    <row r="150" spans="1:55" ht="16.2" customHeight="1" x14ac:dyDescent="0.25">
      <c r="A150" s="178">
        <v>120</v>
      </c>
      <c r="B150" s="187"/>
      <c r="BC150" s="209"/>
    </row>
    <row r="151" spans="1:55" ht="16.2" customHeight="1" x14ac:dyDescent="0.25">
      <c r="A151" s="178">
        <v>121</v>
      </c>
      <c r="B151" s="187"/>
      <c r="BC151" s="209"/>
    </row>
    <row r="152" spans="1:55" ht="16.2" customHeight="1" x14ac:dyDescent="0.25">
      <c r="A152" s="178">
        <v>122</v>
      </c>
      <c r="B152" s="187"/>
      <c r="BC152" s="209"/>
    </row>
    <row r="153" spans="1:55" ht="16.2" customHeight="1" x14ac:dyDescent="0.25">
      <c r="A153" s="178">
        <v>123</v>
      </c>
      <c r="B153" s="187"/>
      <c r="BC153" s="209"/>
    </row>
    <row r="154" spans="1:55" ht="16.2" customHeight="1" x14ac:dyDescent="0.25">
      <c r="A154" s="178">
        <v>124</v>
      </c>
      <c r="B154" s="187"/>
      <c r="BC154" s="209"/>
    </row>
    <row r="155" spans="1:55" ht="16.2" customHeight="1" x14ac:dyDescent="0.25">
      <c r="A155" s="178">
        <v>125</v>
      </c>
      <c r="B155" s="187"/>
      <c r="BC155" s="209"/>
    </row>
    <row r="156" spans="1:55" ht="16.2" customHeight="1" x14ac:dyDescent="0.25">
      <c r="A156" s="178">
        <v>126</v>
      </c>
      <c r="B156" s="187"/>
      <c r="BC156" s="209"/>
    </row>
    <row r="157" spans="1:55" ht="16.2" customHeight="1" x14ac:dyDescent="0.25">
      <c r="A157" s="178">
        <v>127</v>
      </c>
      <c r="B157" s="187"/>
      <c r="BC157" s="209"/>
    </row>
    <row r="158" spans="1:55" ht="16.2" customHeight="1" x14ac:dyDescent="0.25">
      <c r="A158" s="178">
        <v>128</v>
      </c>
      <c r="B158" s="187"/>
      <c r="BC158" s="209"/>
    </row>
    <row r="159" spans="1:55" ht="16.2" customHeight="1" x14ac:dyDescent="0.25">
      <c r="A159" s="178">
        <v>129</v>
      </c>
      <c r="B159" s="187"/>
      <c r="BC159" s="209"/>
    </row>
    <row r="160" spans="1:55" ht="16.2" customHeight="1" x14ac:dyDescent="0.25">
      <c r="A160" s="178">
        <v>130</v>
      </c>
      <c r="B160" s="187"/>
      <c r="BC160" s="209"/>
    </row>
    <row r="161" spans="1:55" ht="16.2" customHeight="1" x14ac:dyDescent="0.25">
      <c r="A161" s="178">
        <v>131</v>
      </c>
      <c r="B161" s="187"/>
      <c r="BC161" s="209"/>
    </row>
    <row r="162" spans="1:55" ht="16.2" customHeight="1" x14ac:dyDescent="0.25">
      <c r="A162" s="178">
        <v>132</v>
      </c>
      <c r="B162" s="187"/>
      <c r="BC162" s="209"/>
    </row>
    <row r="163" spans="1:55" ht="16.2" customHeight="1" x14ac:dyDescent="0.25">
      <c r="A163" s="178">
        <v>133</v>
      </c>
      <c r="B163" s="187"/>
      <c r="BC163" s="209"/>
    </row>
    <row r="164" spans="1:55" ht="16.2" customHeight="1" x14ac:dyDescent="0.25">
      <c r="A164" s="178">
        <v>134</v>
      </c>
      <c r="B164" s="187"/>
      <c r="BC164" s="209"/>
    </row>
    <row r="165" spans="1:55" ht="16.2" customHeight="1" x14ac:dyDescent="0.25">
      <c r="A165" s="178">
        <v>135</v>
      </c>
      <c r="B165" s="187"/>
      <c r="BC165" s="209"/>
    </row>
    <row r="166" spans="1:55" ht="16.2" customHeight="1" x14ac:dyDescent="0.25">
      <c r="A166" s="178">
        <v>136</v>
      </c>
      <c r="B166" s="187"/>
      <c r="BC166" s="209"/>
    </row>
    <row r="167" spans="1:55" ht="16.2" customHeight="1" x14ac:dyDescent="0.25">
      <c r="A167" s="178">
        <v>137</v>
      </c>
      <c r="B167" s="187"/>
      <c r="BC167" s="209"/>
    </row>
    <row r="168" spans="1:55" ht="16.2" customHeight="1" x14ac:dyDescent="0.25">
      <c r="A168" s="178">
        <v>138</v>
      </c>
      <c r="B168" s="187"/>
      <c r="BC168" s="209"/>
    </row>
    <row r="169" spans="1:55" ht="16.2" customHeight="1" x14ac:dyDescent="0.25">
      <c r="A169" s="178">
        <v>139</v>
      </c>
      <c r="B169" s="187"/>
      <c r="BC169" s="209"/>
    </row>
    <row r="170" spans="1:55" ht="16.2" customHeight="1" x14ac:dyDescent="0.25">
      <c r="A170" s="178">
        <v>140</v>
      </c>
      <c r="B170" s="187"/>
      <c r="BC170" s="209"/>
    </row>
    <row r="171" spans="1:55" ht="16.2" customHeight="1" x14ac:dyDescent="0.25">
      <c r="A171" s="178">
        <v>141</v>
      </c>
      <c r="B171" s="187"/>
      <c r="BC171" s="209"/>
    </row>
    <row r="172" spans="1:55" ht="16.2" customHeight="1" x14ac:dyDescent="0.25">
      <c r="A172" s="178">
        <v>142</v>
      </c>
      <c r="B172" s="187"/>
      <c r="BC172" s="209"/>
    </row>
    <row r="173" spans="1:55" ht="16.2" customHeight="1" x14ac:dyDescent="0.25">
      <c r="A173" s="178">
        <v>143</v>
      </c>
      <c r="B173" s="187"/>
      <c r="BC173" s="209"/>
    </row>
    <row r="174" spans="1:55" ht="16.2" customHeight="1" x14ac:dyDescent="0.25">
      <c r="A174" s="178">
        <v>144</v>
      </c>
      <c r="B174" s="187"/>
      <c r="BC174" s="209"/>
    </row>
    <row r="175" spans="1:55" ht="16.2" customHeight="1" x14ac:dyDescent="0.25">
      <c r="A175" s="178">
        <v>145</v>
      </c>
      <c r="B175" s="187"/>
      <c r="BC175" s="209"/>
    </row>
    <row r="176" spans="1:55" ht="16.2" customHeight="1" x14ac:dyDescent="0.25">
      <c r="A176" s="178">
        <v>146</v>
      </c>
      <c r="B176" s="187"/>
      <c r="BC176" s="209"/>
    </row>
    <row r="177" spans="1:55" ht="16.2" customHeight="1" x14ac:dyDescent="0.25">
      <c r="A177" s="178">
        <v>147</v>
      </c>
      <c r="B177" s="187"/>
      <c r="BC177" s="209"/>
    </row>
    <row r="178" spans="1:55" ht="16.2" customHeight="1" x14ac:dyDescent="0.25">
      <c r="A178" s="178">
        <v>148</v>
      </c>
      <c r="B178" s="187"/>
      <c r="BC178" s="209"/>
    </row>
    <row r="179" spans="1:55" ht="16.2" customHeight="1" x14ac:dyDescent="0.25">
      <c r="A179" s="178">
        <v>149</v>
      </c>
      <c r="B179" s="187"/>
      <c r="BC179" s="209"/>
    </row>
    <row r="180" spans="1:55" ht="16.2" customHeight="1" x14ac:dyDescent="0.25">
      <c r="A180" s="178">
        <v>150</v>
      </c>
      <c r="B180" s="228"/>
      <c r="C180" s="229"/>
      <c r="D180" s="229"/>
      <c r="E180" s="229"/>
      <c r="F180" s="229"/>
      <c r="G180" s="229"/>
      <c r="H180" s="229"/>
      <c r="I180" s="229"/>
      <c r="J180" s="229"/>
      <c r="K180" s="229"/>
      <c r="L180" s="229"/>
      <c r="M180" s="229"/>
      <c r="N180" s="229"/>
      <c r="O180" s="229"/>
      <c r="P180" s="229"/>
      <c r="Q180" s="229"/>
      <c r="R180" s="229"/>
      <c r="S180" s="229"/>
      <c r="T180" s="229"/>
      <c r="U180" s="229"/>
      <c r="V180" s="229"/>
      <c r="W180" s="229"/>
      <c r="X180" s="229"/>
      <c r="Y180" s="229"/>
      <c r="Z180" s="229"/>
      <c r="AA180" s="229"/>
      <c r="AB180" s="229"/>
      <c r="AC180" s="229"/>
      <c r="AD180" s="229"/>
      <c r="AE180" s="229"/>
      <c r="AF180" s="229"/>
      <c r="AG180" s="229"/>
      <c r="AH180" s="229"/>
      <c r="AI180" s="229"/>
      <c r="AJ180" s="229"/>
      <c r="AK180" s="229"/>
      <c r="AL180" s="229"/>
      <c r="AM180" s="229"/>
      <c r="AN180" s="229"/>
      <c r="AO180" s="229"/>
      <c r="AP180" s="229"/>
      <c r="AQ180" s="229"/>
      <c r="AR180" s="229"/>
      <c r="AS180" s="229"/>
      <c r="AT180" s="229"/>
      <c r="AU180" s="229"/>
      <c r="AV180" s="229"/>
      <c r="AW180" s="229"/>
      <c r="AX180" s="229"/>
      <c r="AY180" s="229"/>
      <c r="AZ180" s="229"/>
      <c r="BA180" s="229"/>
      <c r="BB180" s="229"/>
      <c r="BC180" s="230"/>
    </row>
    <row r="247" spans="1:2" ht="16.2" customHeight="1" x14ac:dyDescent="0.25">
      <c r="A247" s="231"/>
      <c r="B247" s="231"/>
    </row>
  </sheetData>
  <mergeCells count="17">
    <mergeCell ref="Q30:S30"/>
    <mergeCell ref="T30:V30"/>
    <mergeCell ref="W30:Y30"/>
    <mergeCell ref="Z30:AB30"/>
    <mergeCell ref="AC30:AE30"/>
    <mergeCell ref="B30:D30"/>
    <mergeCell ref="E30:G30"/>
    <mergeCell ref="H30:J30"/>
    <mergeCell ref="K30:M30"/>
    <mergeCell ref="N30:P30"/>
    <mergeCell ref="AL30:AN30"/>
    <mergeCell ref="AC1:AD1"/>
    <mergeCell ref="BR1:BS1"/>
    <mergeCell ref="AC15:AD15"/>
    <mergeCell ref="AC20:AD20"/>
    <mergeCell ref="AF30:AH30"/>
    <mergeCell ref="AI30:AK30"/>
  </mergeCells>
  <phoneticPr fontId="86" type="noConversion"/>
  <conditionalFormatting sqref="BF16:BG28 BH30:BH85">
    <cfRule type="duplicateValues" dxfId="9" priority="310"/>
  </conditionalFormatting>
  <conditionalFormatting sqref="BH86">
    <cfRule type="duplicateValues" dxfId="8" priority="209"/>
  </conditionalFormatting>
  <conditionalFormatting sqref="BH87">
    <cfRule type="duplicateValues" dxfId="7" priority="210"/>
  </conditionalFormatting>
  <conditionalFormatting sqref="BH88">
    <cfRule type="duplicateValues" dxfId="6" priority="211"/>
  </conditionalFormatting>
  <conditionalFormatting sqref="BH89">
    <cfRule type="duplicateValues" dxfId="5" priority="212"/>
  </conditionalFormatting>
  <dataValidations disablePrompts="1" count="1">
    <dataValidation allowBlank="1" showInputMessage="1" sqref="BT2:BU58" xr:uid="{00000000-0002-0000-0400-000000000000}"/>
  </dataValidation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U48"/>
  <sheetViews>
    <sheetView zoomScale="70" zoomScaleNormal="70" workbookViewId="0">
      <selection activeCell="W16" sqref="W16"/>
    </sheetView>
  </sheetViews>
  <sheetFormatPr defaultColWidth="9" defaultRowHeight="16.95" customHeight="1" x14ac:dyDescent="0.25"/>
  <cols>
    <col min="1" max="18" width="9" style="159"/>
    <col min="19" max="19" width="10" style="159" customWidth="1"/>
    <col min="20" max="20" width="9.77734375" style="159" customWidth="1"/>
    <col min="21" max="23" width="9" style="159"/>
    <col min="24" max="24" width="10" style="159" customWidth="1"/>
    <col min="25" max="16384" width="9" style="159"/>
  </cols>
  <sheetData>
    <row r="1" spans="1:47" ht="16.95" customHeight="1" x14ac:dyDescent="0.25">
      <c r="A1" s="641" t="s">
        <v>1834</v>
      </c>
      <c r="B1" s="641"/>
      <c r="C1" s="160" t="s">
        <v>1835</v>
      </c>
      <c r="D1" s="160" t="s">
        <v>1836</v>
      </c>
      <c r="E1" s="159" t="s">
        <v>1837</v>
      </c>
      <c r="F1" s="159">
        <f>SUM(F2:F6)</f>
        <v>0</v>
      </c>
      <c r="I1" s="166"/>
      <c r="J1" s="321" t="s">
        <v>38</v>
      </c>
      <c r="K1" s="321" t="s">
        <v>1838</v>
      </c>
      <c r="L1" s="321" t="s">
        <v>128</v>
      </c>
      <c r="M1" s="321" t="s">
        <v>1839</v>
      </c>
      <c r="N1" s="321" t="s">
        <v>127</v>
      </c>
      <c r="O1" s="321" t="s">
        <v>119</v>
      </c>
      <c r="P1" s="321" t="s">
        <v>208</v>
      </c>
      <c r="Q1" s="321" t="s">
        <v>70</v>
      </c>
      <c r="R1" s="171" t="s">
        <v>1840</v>
      </c>
      <c r="S1" s="171" t="s">
        <v>1841</v>
      </c>
      <c r="T1" s="171" t="s">
        <v>1838</v>
      </c>
      <c r="U1" s="171" t="s">
        <v>128</v>
      </c>
      <c r="V1" s="171" t="s">
        <v>127</v>
      </c>
      <c r="W1" s="172" t="s">
        <v>1842</v>
      </c>
      <c r="X1" s="642" t="s">
        <v>74</v>
      </c>
      <c r="Y1" s="642"/>
      <c r="Z1" s="171" t="s">
        <v>1843</v>
      </c>
      <c r="AA1" s="159" t="s">
        <v>119</v>
      </c>
    </row>
    <row r="2" spans="1:47" ht="16.95" customHeight="1" x14ac:dyDescent="0.25">
      <c r="A2" s="160" t="s">
        <v>132</v>
      </c>
      <c r="B2" s="160" t="s">
        <v>1844</v>
      </c>
      <c r="C2" s="160">
        <v>1</v>
      </c>
      <c r="D2" s="159">
        <v>20</v>
      </c>
      <c r="E2" s="159">
        <f>IFERROR(INT(主要!AS33/D2),0)</f>
        <v>0</v>
      </c>
      <c r="F2" s="160">
        <f>INT(C2*E2)</f>
        <v>0</v>
      </c>
      <c r="I2" s="163"/>
      <c r="J2" s="167" t="s">
        <v>363</v>
      </c>
      <c r="K2" s="168" t="str">
        <f t="shared" ref="K2:P2" si="0">""</f>
        <v/>
      </c>
      <c r="L2" s="168" t="str">
        <f t="shared" si="0"/>
        <v/>
      </c>
      <c r="M2" s="168" t="str">
        <f t="shared" si="0"/>
        <v/>
      </c>
      <c r="N2" s="168" t="str">
        <f t="shared" si="0"/>
        <v/>
      </c>
      <c r="O2" s="168" t="str">
        <f t="shared" si="0"/>
        <v/>
      </c>
      <c r="P2" s="168" t="str">
        <f t="shared" si="0"/>
        <v/>
      </c>
      <c r="Q2" s="168"/>
      <c r="R2" s="159" t="str">
        <f>IF(ISBLANK(主要!L33),"-",主要!L33)</f>
        <v>-</v>
      </c>
      <c r="S2" s="159" t="str">
        <f>VLOOKUP(R2,$J$2:$M$44,4,0)</f>
        <v/>
      </c>
      <c r="T2" s="159" t="str">
        <f>VLOOKUP(R2,$J$2:$M$44,2,0)</f>
        <v/>
      </c>
      <c r="U2" s="159" t="str">
        <f>VLOOKUP(R2,$J$2:$M$44,3,0)</f>
        <v/>
      </c>
      <c r="V2" s="159" t="str">
        <f>VLOOKUP(R2,$J$2:$N$44,5,0)</f>
        <v/>
      </c>
      <c r="W2" s="163" t="str">
        <f>IF(R2="-","",CONCATENATE("+",SUM(Y2+IF(主要!AE33="O",主要!$S$3,0)+主要!T33)))</f>
        <v/>
      </c>
      <c r="X2" s="159">
        <f>IF(主要!$AS$29="默认",VLOOKUP(R2,$J$2:$Q$44,8,0),主要!$AS$29)</f>
        <v>0</v>
      </c>
      <c r="Y2" s="159" t="str">
        <f>IF(R2="-","",VLOOKUP(X2,主要!C13:S18,16,0))</f>
        <v/>
      </c>
      <c r="Z2" s="159" t="str">
        <f>IF(Y2="","",IF(Y2&gt;=0,CONCATENATE("+",Y2),Y2))</f>
        <v/>
      </c>
      <c r="AA2" s="159" t="str">
        <f>VLOOKUP(R2,$J$2:$O$44,6,0)</f>
        <v/>
      </c>
    </row>
    <row r="3" spans="1:47" ht="16.95" customHeight="1" x14ac:dyDescent="0.25">
      <c r="A3" s="160" t="s">
        <v>134</v>
      </c>
      <c r="B3" s="160" t="s">
        <v>1845</v>
      </c>
      <c r="C3" s="160">
        <v>0.5</v>
      </c>
      <c r="D3" s="159">
        <v>20</v>
      </c>
      <c r="E3" s="159">
        <f>IFERROR(INT(主要!AS34/D3),0)</f>
        <v>0</v>
      </c>
      <c r="F3" s="160">
        <f>INT(C3*E3)</f>
        <v>0</v>
      </c>
      <c r="I3" s="163"/>
      <c r="J3" s="169" t="s">
        <v>1846</v>
      </c>
      <c r="K3" s="169">
        <v>1</v>
      </c>
      <c r="L3" s="169" t="s">
        <v>1847</v>
      </c>
      <c r="M3" s="169" t="s">
        <v>363</v>
      </c>
      <c r="N3" s="169" t="s">
        <v>363</v>
      </c>
      <c r="O3" s="169">
        <v>0</v>
      </c>
      <c r="P3" s="169" t="s">
        <v>363</v>
      </c>
      <c r="Q3" s="173" t="s">
        <v>77</v>
      </c>
      <c r="R3" s="159" t="str">
        <f>IF(ISBLANK(主要!L34),"-",主要!L34)</f>
        <v>-</v>
      </c>
      <c r="S3" s="159" t="str">
        <f t="shared" ref="S3:S6" si="1">VLOOKUP(R3,$J$2:$M$44,4,0)</f>
        <v/>
      </c>
      <c r="T3" s="159" t="str">
        <f t="shared" ref="T3:T6" si="2">VLOOKUP(R3,$J$2:$M$44,2,0)</f>
        <v/>
      </c>
      <c r="U3" s="159" t="str">
        <f t="shared" ref="U3:U6" si="3">VLOOKUP(R3,$J$2:$M$44,3,0)</f>
        <v/>
      </c>
      <c r="V3" s="159" t="str">
        <f t="shared" ref="V3:V6" si="4">VLOOKUP(R3,$J$2:$N$44,5,0)</f>
        <v/>
      </c>
      <c r="W3" s="163" t="str">
        <f>IF(R3="-","",CONCATENATE("+",SUM(Y3+IF(主要!AE34="O",主要!$S$3,0)+主要!T34)))</f>
        <v/>
      </c>
      <c r="X3" s="159">
        <f>IF(主要!$AS$29="默认",VLOOKUP(R3,$J$2:$Q$44,8,0),主要!$AS$29)</f>
        <v>0</v>
      </c>
      <c r="Y3" s="159" t="str">
        <f>IF(R3="-","",VLOOKUP(X3,主要!C13:S18,16,0))</f>
        <v/>
      </c>
      <c r="Z3" s="159" t="str">
        <f>IF(Y3="","",IF(Y3&gt;=0,CONCATENATE("+",Y3),Y3))</f>
        <v/>
      </c>
      <c r="AA3" s="159" t="str">
        <f t="shared" ref="AA3:AA6" si="5">VLOOKUP(R3,$J$2:$O$44,6,0)</f>
        <v/>
      </c>
    </row>
    <row r="4" spans="1:47" ht="16.95" customHeight="1" x14ac:dyDescent="0.25">
      <c r="A4" s="160" t="s">
        <v>136</v>
      </c>
      <c r="B4" s="160" t="s">
        <v>1848</v>
      </c>
      <c r="C4" s="160"/>
      <c r="E4" s="159">
        <f>IFERROR(INT(主要!AS35/D4),0)</f>
        <v>0</v>
      </c>
      <c r="F4" s="160">
        <f>INT(C4*E4)</f>
        <v>0</v>
      </c>
      <c r="I4" s="643" t="s">
        <v>1849</v>
      </c>
      <c r="J4" s="127" t="s">
        <v>1850</v>
      </c>
      <c r="K4" s="127" t="s">
        <v>1851</v>
      </c>
      <c r="L4" s="127" t="s">
        <v>1847</v>
      </c>
      <c r="M4" s="127" t="s">
        <v>1852</v>
      </c>
      <c r="N4" s="127" t="s">
        <v>1853</v>
      </c>
      <c r="O4" s="127">
        <v>2</v>
      </c>
      <c r="P4" s="127" t="s">
        <v>1854</v>
      </c>
      <c r="Q4" s="174" t="s">
        <v>77</v>
      </c>
      <c r="R4" s="159" t="str">
        <f>IF(ISBLANK(主要!L35),"-",主要!L35)</f>
        <v>-</v>
      </c>
      <c r="S4" s="159" t="str">
        <f t="shared" si="1"/>
        <v/>
      </c>
      <c r="T4" s="159" t="str">
        <f t="shared" si="2"/>
        <v/>
      </c>
      <c r="U4" s="159" t="str">
        <f t="shared" si="3"/>
        <v/>
      </c>
      <c r="V4" s="159" t="str">
        <f t="shared" si="4"/>
        <v/>
      </c>
      <c r="W4" s="163" t="str">
        <f>IF(R4="-","",CONCATENATE("+",SUM(Y4+IF(主要!AE35="O",主要!$S$3,0)+主要!T35)))</f>
        <v/>
      </c>
      <c r="X4" s="159">
        <f>IF(主要!$AS$29="默认",VLOOKUP(R4,$J$2:$Q$44,8,0),主要!$AS$29)</f>
        <v>0</v>
      </c>
      <c r="Y4" s="159" t="str">
        <f>IF(R4="-","",VLOOKUP(X4,主要!C13:S18,16,0))</f>
        <v/>
      </c>
      <c r="Z4" s="159" t="str">
        <f>IF(Y4="","",IF(Y4&gt;=0,CONCATENATE("+",Y4),Y4))</f>
        <v/>
      </c>
      <c r="AA4" s="159" t="str">
        <f t="shared" si="5"/>
        <v/>
      </c>
    </row>
    <row r="5" spans="1:47" ht="16.95" customHeight="1" x14ac:dyDescent="0.25">
      <c r="A5" s="160" t="s">
        <v>138</v>
      </c>
      <c r="B5" s="160" t="s">
        <v>1855</v>
      </c>
      <c r="C5" s="160">
        <v>0.5</v>
      </c>
      <c r="D5" s="159">
        <v>20</v>
      </c>
      <c r="E5" s="159">
        <f>IFERROR(INT(主要!AS36/D5),0)</f>
        <v>0</v>
      </c>
      <c r="F5" s="160">
        <f>INT(C5*E5)</f>
        <v>0</v>
      </c>
      <c r="I5" s="643"/>
      <c r="J5" s="170" t="s">
        <v>1856</v>
      </c>
      <c r="K5" s="170" t="s">
        <v>1851</v>
      </c>
      <c r="L5" s="170" t="s">
        <v>1857</v>
      </c>
      <c r="M5" s="170" t="s">
        <v>1858</v>
      </c>
      <c r="N5" s="170" t="s">
        <v>1859</v>
      </c>
      <c r="O5" s="170">
        <v>1</v>
      </c>
      <c r="P5" s="170" t="s">
        <v>1860</v>
      </c>
      <c r="Q5" s="175" t="str">
        <f>IF(主要!R13&gt;=主要!R14,"力量","敏捷")</f>
        <v>力量</v>
      </c>
      <c r="R5" s="159" t="str">
        <f>IF(ISBLANK(主要!L36),"-",主要!L36)</f>
        <v>-</v>
      </c>
      <c r="S5" s="159" t="str">
        <f t="shared" si="1"/>
        <v/>
      </c>
      <c r="T5" s="159" t="str">
        <f t="shared" si="2"/>
        <v/>
      </c>
      <c r="U5" s="159" t="str">
        <f t="shared" si="3"/>
        <v/>
      </c>
      <c r="V5" s="159" t="str">
        <f t="shared" si="4"/>
        <v/>
      </c>
      <c r="W5" s="163" t="str">
        <f>IF(R5="-","",CONCATENATE("+",SUM(Y5+IF(主要!AE36="O",主要!$S$3,0)+主要!T36)))</f>
        <v/>
      </c>
      <c r="X5" s="159">
        <f>IF(主要!$AS$29="默认",VLOOKUP(R5,$J$2:$Q$44,8,0),主要!$AS$29)</f>
        <v>0</v>
      </c>
      <c r="Y5" s="159" t="str">
        <f>IF(R5="-","",VLOOKUP(X5,主要!C13:S18,16,0))</f>
        <v/>
      </c>
      <c r="Z5" s="159" t="str">
        <f t="shared" ref="Z5:Z6" si="6">IF(Y5="","",IF(Y5&gt;=0,CONCATENATE("+",Y5),Y5))</f>
        <v/>
      </c>
      <c r="AA5" s="159" t="str">
        <f t="shared" si="5"/>
        <v/>
      </c>
      <c r="AR5" s="159">
        <v>5</v>
      </c>
      <c r="AU5" s="159">
        <v>1</v>
      </c>
    </row>
    <row r="6" spans="1:47" ht="16.95" customHeight="1" x14ac:dyDescent="0.25">
      <c r="A6" s="160" t="s">
        <v>140</v>
      </c>
      <c r="B6" s="160" t="s">
        <v>1861</v>
      </c>
      <c r="C6" s="160">
        <v>1</v>
      </c>
      <c r="D6" s="159">
        <v>50</v>
      </c>
      <c r="E6" s="159">
        <f>IFERROR(INT(主要!AS37/D6),0)</f>
        <v>0</v>
      </c>
      <c r="F6" s="160">
        <f>INT(C6*E6)</f>
        <v>0</v>
      </c>
      <c r="I6" s="643"/>
      <c r="J6" s="127" t="s">
        <v>1862</v>
      </c>
      <c r="K6" s="127" t="s">
        <v>758</v>
      </c>
      <c r="L6" s="127" t="s">
        <v>1847</v>
      </c>
      <c r="M6" s="127" t="s">
        <v>1863</v>
      </c>
      <c r="N6" s="127" t="s">
        <v>1864</v>
      </c>
      <c r="O6" s="127">
        <v>10</v>
      </c>
      <c r="P6" s="127" t="s">
        <v>1865</v>
      </c>
      <c r="Q6" s="174" t="s">
        <v>77</v>
      </c>
      <c r="R6" s="159" t="str">
        <f>IF(ISBLANK(主要!L37),"-",主要!L37)</f>
        <v>-</v>
      </c>
      <c r="S6" s="159" t="str">
        <f t="shared" si="1"/>
        <v/>
      </c>
      <c r="T6" s="159" t="str">
        <f t="shared" si="2"/>
        <v/>
      </c>
      <c r="U6" s="159" t="str">
        <f t="shared" si="3"/>
        <v/>
      </c>
      <c r="V6" s="159" t="str">
        <f t="shared" si="4"/>
        <v/>
      </c>
      <c r="W6" s="163" t="str">
        <f>IF(R6="-","",CONCATENATE("+",SUM(Y6+IF(主要!AE37="O",主要!$S$3,0)+主要!T37)))</f>
        <v/>
      </c>
      <c r="X6" s="159">
        <f>IF(主要!$AS$29="默认",VLOOKUP(R6,$J$2:$Q$44,8,0),主要!$AS$29)</f>
        <v>0</v>
      </c>
      <c r="Y6" s="159" t="str">
        <f>IF(R6="-","",VLOOKUP(X6,主要!C13:S18,16,0))</f>
        <v/>
      </c>
      <c r="Z6" s="159" t="str">
        <f t="shared" si="6"/>
        <v/>
      </c>
      <c r="AA6" s="159" t="str">
        <f t="shared" si="5"/>
        <v/>
      </c>
      <c r="AR6" s="159">
        <v>2</v>
      </c>
      <c r="AU6" s="159">
        <v>1</v>
      </c>
    </row>
    <row r="7" spans="1:47" ht="16.95" customHeight="1" x14ac:dyDescent="0.25">
      <c r="I7" s="643"/>
      <c r="J7" s="170" t="s">
        <v>1866</v>
      </c>
      <c r="K7" s="170" t="s">
        <v>747</v>
      </c>
      <c r="L7" s="170" t="s">
        <v>1867</v>
      </c>
      <c r="M7" s="170" t="s">
        <v>1868</v>
      </c>
      <c r="N7" s="170" t="s">
        <v>1869</v>
      </c>
      <c r="O7" s="170">
        <v>2</v>
      </c>
      <c r="P7" s="170" t="s">
        <v>1870</v>
      </c>
      <c r="Q7" s="175" t="s">
        <v>77</v>
      </c>
      <c r="V7" s="163"/>
      <c r="AR7" s="159">
        <v>0</v>
      </c>
      <c r="AU7" s="159">
        <v>1</v>
      </c>
    </row>
    <row r="8" spans="1:47" ht="16.95" customHeight="1" x14ac:dyDescent="0.25">
      <c r="I8" s="643"/>
      <c r="J8" s="127" t="s">
        <v>1871</v>
      </c>
      <c r="K8" s="127" t="s">
        <v>747</v>
      </c>
      <c r="L8" s="127" t="s">
        <v>1857</v>
      </c>
      <c r="M8" s="127" t="s">
        <v>1872</v>
      </c>
      <c r="N8" s="127" t="s">
        <v>1853</v>
      </c>
      <c r="O8" s="127">
        <v>2</v>
      </c>
      <c r="P8" s="127" t="s">
        <v>1873</v>
      </c>
      <c r="Q8" s="174" t="s">
        <v>77</v>
      </c>
      <c r="S8" s="163"/>
      <c r="AR8" s="159">
        <v>0</v>
      </c>
      <c r="AU8" s="159">
        <v>10</v>
      </c>
    </row>
    <row r="9" spans="1:47" ht="16.95" customHeight="1" x14ac:dyDescent="0.25">
      <c r="D9" s="160" t="s">
        <v>1929</v>
      </c>
      <c r="E9" s="161" t="s">
        <v>363</v>
      </c>
      <c r="F9" s="161" t="s">
        <v>363</v>
      </c>
      <c r="G9" s="162" t="str">
        <f>""</f>
        <v/>
      </c>
      <c r="I9" s="643"/>
      <c r="J9" s="170" t="s">
        <v>1874</v>
      </c>
      <c r="K9" s="170" t="s">
        <v>1851</v>
      </c>
      <c r="L9" s="170" t="s">
        <v>1847</v>
      </c>
      <c r="M9" s="170" t="s">
        <v>1868</v>
      </c>
      <c r="N9" s="170" t="s">
        <v>1859</v>
      </c>
      <c r="O9" s="170">
        <v>2</v>
      </c>
      <c r="P9" s="170" t="s">
        <v>1860</v>
      </c>
      <c r="Q9" s="175" t="s">
        <v>77</v>
      </c>
      <c r="S9" s="163"/>
      <c r="AR9" s="159">
        <v>5</v>
      </c>
      <c r="AU9" s="159">
        <v>1</v>
      </c>
    </row>
    <row r="10" spans="1:47" ht="16.95" customHeight="1" x14ac:dyDescent="0.25">
      <c r="D10" s="160" t="s">
        <v>1921</v>
      </c>
      <c r="E10" s="161" t="s">
        <v>1875</v>
      </c>
      <c r="F10" s="161" t="s">
        <v>1852</v>
      </c>
      <c r="G10" s="162" t="str">
        <f>""</f>
        <v/>
      </c>
      <c r="I10" s="643"/>
      <c r="J10" s="127" t="s">
        <v>1876</v>
      </c>
      <c r="K10" s="127" t="s">
        <v>747</v>
      </c>
      <c r="L10" s="127" t="s">
        <v>1847</v>
      </c>
      <c r="M10" s="127" t="s">
        <v>1877</v>
      </c>
      <c r="N10" s="127" t="s">
        <v>1878</v>
      </c>
      <c r="O10" s="127">
        <v>4</v>
      </c>
      <c r="P10" s="127" t="s">
        <v>1870</v>
      </c>
      <c r="Q10" s="174" t="s">
        <v>77</v>
      </c>
      <c r="S10" s="163"/>
      <c r="AR10" s="159">
        <v>2</v>
      </c>
      <c r="AU10" s="159">
        <v>1</v>
      </c>
    </row>
    <row r="11" spans="1:47" ht="16.95" customHeight="1" x14ac:dyDescent="0.25">
      <c r="D11" s="160" t="s">
        <v>1859</v>
      </c>
      <c r="E11" s="161" t="s">
        <v>1879</v>
      </c>
      <c r="F11" s="161" t="s">
        <v>100</v>
      </c>
      <c r="G11" s="163"/>
      <c r="I11" s="643"/>
      <c r="J11" s="170" t="s">
        <v>1880</v>
      </c>
      <c r="K11" s="170" t="s">
        <v>747</v>
      </c>
      <c r="L11" s="170" t="s">
        <v>1847</v>
      </c>
      <c r="M11" s="170" t="s">
        <v>1881</v>
      </c>
      <c r="N11" s="170" t="s">
        <v>1882</v>
      </c>
      <c r="O11" s="170">
        <v>4</v>
      </c>
      <c r="P11" s="170" t="s">
        <v>1865</v>
      </c>
      <c r="Q11" s="175" t="s">
        <v>77</v>
      </c>
      <c r="R11" s="163" t="s">
        <v>1883</v>
      </c>
      <c r="S11" s="163" t="s">
        <v>1884</v>
      </c>
      <c r="V11" s="163"/>
      <c r="AR11" s="159">
        <v>1</v>
      </c>
      <c r="AU11" s="159">
        <v>7</v>
      </c>
    </row>
    <row r="12" spans="1:47" ht="16.95" customHeight="1" x14ac:dyDescent="0.25">
      <c r="D12" s="160" t="s">
        <v>1864</v>
      </c>
      <c r="E12" s="161" t="s">
        <v>1885</v>
      </c>
      <c r="F12" s="161" t="s">
        <v>1886</v>
      </c>
      <c r="G12" s="163"/>
      <c r="I12" s="643"/>
      <c r="J12" s="127" t="s">
        <v>1887</v>
      </c>
      <c r="K12" s="127" t="s">
        <v>1851</v>
      </c>
      <c r="L12" s="127" t="s">
        <v>1867</v>
      </c>
      <c r="M12" s="127" t="s">
        <v>1852</v>
      </c>
      <c r="N12" s="127" t="s">
        <v>1859</v>
      </c>
      <c r="O12" s="127">
        <v>2</v>
      </c>
      <c r="P12" s="127" t="s">
        <v>1888</v>
      </c>
      <c r="Q12" s="174" t="s">
        <v>77</v>
      </c>
      <c r="R12" s="161" t="str">
        <f>IFERROR(CONCATENATE(IF(主要!K33=TRUE,IF(主要!T33&lt;&gt;0,主要!T33,0)+主要!S3,IF(主要!T33&lt;&gt;0,主要!T33,"")),IF(VLOOKUP(VLOOKUP(主要!L33,装备!J1:Q41,7,FALSE),主要!C13:L18,7,FALSE)&lt;0,"",(IF(主要!K33=TRUE,"+",IF(主要!T33&lt;&gt;0,"+","")))),VLOOKUP(VLOOKUP(主要!L33,装备!J1:Q41,7,FALSE),主要!C13:U18,16,FALSE)),"")</f>
        <v/>
      </c>
      <c r="S12" s="161" t="str">
        <f>IFERROR(IF(主要!AH33="","",CONCATENATE(IF(VLOOKUP(VLOOKUP(主要!L33,装备!J1:Q41,7,FALSE),主要!C13:L18,7,FALSE)&lt;0,"","+"),VLOOKUP(VLOOKUP(主要!L33,装备!J1:Q41,7,FALSE),主要!C13:U18,16,FALSE))),"")</f>
        <v/>
      </c>
      <c r="V12" s="163"/>
      <c r="AR12" s="159">
        <v>2</v>
      </c>
      <c r="AU12" s="159">
        <v>5</v>
      </c>
    </row>
    <row r="13" spans="1:47" ht="16.95" customHeight="1" x14ac:dyDescent="0.25">
      <c r="D13" s="160" t="s">
        <v>1878</v>
      </c>
      <c r="E13" s="161" t="s">
        <v>1889</v>
      </c>
      <c r="F13" s="161" t="s">
        <v>96</v>
      </c>
      <c r="G13" s="163"/>
      <c r="I13" s="643"/>
      <c r="J13" s="170" t="s">
        <v>1890</v>
      </c>
      <c r="K13" s="170" t="s">
        <v>747</v>
      </c>
      <c r="L13" s="170" t="s">
        <v>1857</v>
      </c>
      <c r="M13" s="170" t="s">
        <v>1891</v>
      </c>
      <c r="N13" s="170" t="s">
        <v>1878</v>
      </c>
      <c r="O13" s="170">
        <v>3</v>
      </c>
      <c r="P13" s="170" t="s">
        <v>1888</v>
      </c>
      <c r="Q13" s="175" t="s">
        <v>77</v>
      </c>
      <c r="R13" s="161" t="str">
        <f>IFERROR(CONCATENATE(IF(主要!K34=TRUE,IF(主要!T34&lt;&gt;0,主要!T34,0)+主要!S3,IF(主要!T34&lt;&gt;0,主要!T34,"")),IF(VLOOKUP(VLOOKUP(主要!L34,装备!J1:Q41,7,FALSE),主要!C13:L18,7,FALSE)&lt;0,"",(IF(主要!K34=TRUE,"+",IF(主要!T34&lt;&gt;0,"+","")))),VLOOKUP(VLOOKUP(主要!L34,装备!J1:Q41,7,FALSE),主要!C13:U18,16,FALSE)),"")</f>
        <v/>
      </c>
      <c r="S13" s="161" t="str">
        <f>IFERROR(IF(主要!AH34="","",CONCATENATE(IF(VLOOKUP(VLOOKUP(主要!L34,装备!J1:Q41,7,FALSE),主要!C13:L18,7,FALSE)&lt;0,"","+"),VLOOKUP(VLOOKUP(主要!L34,装备!J1:Q41,7,FALSE),主要!C13:U18,16,FALSE))),"")</f>
        <v/>
      </c>
      <c r="V13" s="163"/>
      <c r="AR13" s="159">
        <v>5</v>
      </c>
      <c r="AU13" s="159">
        <v>1</v>
      </c>
    </row>
    <row r="14" spans="1:47" ht="16.95" customHeight="1" x14ac:dyDescent="0.25">
      <c r="D14" s="160" t="s">
        <v>1853</v>
      </c>
      <c r="E14" s="161" t="s">
        <v>1892</v>
      </c>
      <c r="F14" s="164" t="s">
        <v>1857</v>
      </c>
      <c r="G14" s="163"/>
      <c r="I14" s="640" t="s">
        <v>1893</v>
      </c>
      <c r="J14" s="127" t="s">
        <v>1894</v>
      </c>
      <c r="K14" s="127" t="s">
        <v>1851</v>
      </c>
      <c r="L14" s="127" t="s">
        <v>1857</v>
      </c>
      <c r="M14" s="127" t="s">
        <v>1895</v>
      </c>
      <c r="N14" s="127" t="s">
        <v>1869</v>
      </c>
      <c r="O14" s="127">
        <v>0.25</v>
      </c>
      <c r="P14" s="127" t="s">
        <v>1896</v>
      </c>
      <c r="Q14" s="174" t="s">
        <v>79</v>
      </c>
      <c r="R14" s="161" t="str">
        <f>IFERROR(CONCATENATE(IF(主要!K35=TRUE,IF(主要!T35&lt;&gt;0,主要!T35,0)+主要!S3,IF(主要!T35&lt;&gt;0,主要!T35,"")),IF(VLOOKUP(VLOOKUP(主要!L35,装备!J1:Q41,7,FALSE),主要!C13:L18,7,FALSE)&lt;0,"",(IF(主要!K35=TRUE,"+",IF(主要!T35&lt;&gt;0,"+","")))),VLOOKUP(VLOOKUP(主要!L35,装备!J1:Q41,7,FALSE),主要!C13:U18,16,FALSE)),"")</f>
        <v/>
      </c>
      <c r="S14" s="161" t="str">
        <f>IFERROR(IF(主要!AH35="","",CONCATENATE(IF(VLOOKUP(VLOOKUP(主要!L35,装备!J1:Q41,7,FALSE),主要!C13:L18,7,FALSE)&lt;0,"","+"),VLOOKUP(VLOOKUP(主要!L35,装备!J1:Q41,7,FALSE),主要!C13:U18,16,FALSE))),"")</f>
        <v/>
      </c>
      <c r="V14" s="163"/>
      <c r="AR14" s="159">
        <v>1</v>
      </c>
      <c r="AU14" s="159">
        <v>1</v>
      </c>
    </row>
    <row r="15" spans="1:47" ht="16.95" customHeight="1" x14ac:dyDescent="0.25">
      <c r="D15" s="160" t="s">
        <v>1882</v>
      </c>
      <c r="E15" s="164" t="s">
        <v>1897</v>
      </c>
      <c r="F15" s="164" t="s">
        <v>1867</v>
      </c>
      <c r="G15" s="163"/>
      <c r="I15" s="640"/>
      <c r="J15" s="169" t="s">
        <v>1898</v>
      </c>
      <c r="K15" s="169" t="s">
        <v>758</v>
      </c>
      <c r="L15" s="169" t="s">
        <v>1857</v>
      </c>
      <c r="M15" s="169" t="s">
        <v>1899</v>
      </c>
      <c r="N15" s="169" t="s">
        <v>1853</v>
      </c>
      <c r="O15" s="169">
        <v>5</v>
      </c>
      <c r="P15" s="169" t="s">
        <v>1900</v>
      </c>
      <c r="Q15" s="175" t="str">
        <f>IF(主要!R13&gt;=主要!R14,"力量","敏捷")</f>
        <v>力量</v>
      </c>
      <c r="R15" s="161" t="str">
        <f>IFERROR(CONCATENATE(IF(主要!K36=TRUE,IF(主要!T36&lt;&gt;0,主要!T36,0)+主要!S3,IF(主要!T36&lt;&gt;0,主要!T36,"")),IF(VLOOKUP(VLOOKUP(主要!L36,装备!J1:Q41,7,FALSE),主要!C13:L18,7,FALSE)&lt;0,"",(IF(主要!K36=TRUE,"+",IF(主要!T36&lt;&gt;0,"+","")))),VLOOKUP(VLOOKUP(主要!L36,装备!J1:Q41,7,FALSE),主要!C13:U18,16,FALSE)),"")</f>
        <v/>
      </c>
      <c r="S15" s="161" t="str">
        <f>IFERROR(IF(主要!AH36="","",CONCATENATE(IF(VLOOKUP(VLOOKUP(主要!L36,装备!J1:Q41,7,FALSE),主要!C13:L18,7,FALSE)&lt;0,"","+"),VLOOKUP(VLOOKUP(主要!L36,装备!J1:Q41,7,FALSE),主要!C13:U18,16,FALSE))),"")</f>
        <v/>
      </c>
      <c r="V15" s="163"/>
    </row>
    <row r="16" spans="1:47" ht="16.95" customHeight="1" x14ac:dyDescent="0.25">
      <c r="D16" s="160" t="s">
        <v>1869</v>
      </c>
      <c r="E16" s="164" t="s">
        <v>1901</v>
      </c>
      <c r="F16" s="164" t="s">
        <v>1847</v>
      </c>
      <c r="G16" s="163"/>
      <c r="I16" s="640"/>
      <c r="J16" s="127" t="s">
        <v>1902</v>
      </c>
      <c r="K16" s="127" t="s">
        <v>747</v>
      </c>
      <c r="L16" s="127" t="s">
        <v>1857</v>
      </c>
      <c r="M16" s="127" t="s">
        <v>1903</v>
      </c>
      <c r="N16" s="127" t="s">
        <v>1869</v>
      </c>
      <c r="O16" s="127">
        <v>2</v>
      </c>
      <c r="P16" s="127" t="s">
        <v>1900</v>
      </c>
      <c r="Q16" s="174" t="s">
        <v>79</v>
      </c>
      <c r="R16" s="161" t="str">
        <f>IFERROR(CONCATENATE(IF(主要!K37=TRUE,IF(主要!T37&lt;&gt;0,主要!T37,0)+主要!S3,IF(主要!T37&lt;&gt;0,主要!T37,"")),IF(VLOOKUP(VLOOKUP(主要!L37,装备!J1:Q41,7,FALSE),主要!C13:L18,7,FALSE)&lt;0,"",(IF(主要!K37=TRUE,"+",IF(主要!T37&lt;&gt;0,"+","")))),VLOOKUP(VLOOKUP(主要!L37,装备!J1:Q41,7,FALSE),主要!C13:U18,16,FALSE)),"")</f>
        <v/>
      </c>
      <c r="S16" s="161" t="str">
        <f>IFERROR(IF(主要!AH37="","",CONCATENATE(IF(VLOOKUP(VLOOKUP(主要!L37,装备!J1:Q41,7,FALSE),主要!C13:L18,7,FALSE)&lt;0,"","+"),VLOOKUP(VLOOKUP(主要!L37,装备!J1:Q41,7,FALSE),主要!C13:U18,16,FALSE))),"")</f>
        <v/>
      </c>
      <c r="V16" s="163"/>
      <c r="W16" s="163"/>
      <c r="X16" s="163"/>
      <c r="AR16" s="159">
        <v>5</v>
      </c>
      <c r="AU16" s="159">
        <v>1</v>
      </c>
    </row>
    <row r="17" spans="4:27" ht="16.95" customHeight="1" x14ac:dyDescent="0.25">
      <c r="E17" s="164" t="s">
        <v>1904</v>
      </c>
      <c r="F17" s="164" t="s">
        <v>1905</v>
      </c>
      <c r="G17" s="163"/>
      <c r="I17" s="640"/>
      <c r="J17" s="169" t="s">
        <v>1906</v>
      </c>
      <c r="K17" s="169" t="s">
        <v>1851</v>
      </c>
      <c r="L17" s="169" t="s">
        <v>1847</v>
      </c>
      <c r="M17" s="169" t="s">
        <v>1907</v>
      </c>
      <c r="N17" s="169" t="s">
        <v>1853</v>
      </c>
      <c r="O17" s="169">
        <v>0</v>
      </c>
      <c r="P17" s="169" t="s">
        <v>1854</v>
      </c>
      <c r="Q17" s="175" t="s">
        <v>79</v>
      </c>
      <c r="V17" s="163"/>
      <c r="W17" s="163"/>
      <c r="X17" s="163"/>
    </row>
    <row r="18" spans="4:27" ht="16.95" customHeight="1" x14ac:dyDescent="0.25">
      <c r="D18" s="159" t="s">
        <v>77</v>
      </c>
      <c r="E18" s="164" t="s">
        <v>1908</v>
      </c>
      <c r="F18" s="164" t="s">
        <v>1909</v>
      </c>
      <c r="G18" s="163"/>
      <c r="I18" s="643" t="s">
        <v>1910</v>
      </c>
      <c r="J18" s="127" t="s">
        <v>1911</v>
      </c>
      <c r="K18" s="127" t="s">
        <v>758</v>
      </c>
      <c r="L18" s="127" t="s">
        <v>1867</v>
      </c>
      <c r="M18" s="127" t="s">
        <v>1912</v>
      </c>
      <c r="N18" s="127" t="s">
        <v>1882</v>
      </c>
      <c r="O18" s="127">
        <v>4</v>
      </c>
      <c r="P18" s="127" t="s">
        <v>1913</v>
      </c>
      <c r="Q18" s="174" t="s">
        <v>77</v>
      </c>
      <c r="R18" s="176" t="s">
        <v>96</v>
      </c>
      <c r="V18" s="163"/>
      <c r="W18" s="163"/>
      <c r="X18" s="163"/>
    </row>
    <row r="19" spans="4:27" ht="16.95" customHeight="1" x14ac:dyDescent="0.25">
      <c r="D19" s="159" t="s">
        <v>79</v>
      </c>
      <c r="E19" s="164" t="s">
        <v>1914</v>
      </c>
      <c r="F19" s="164" t="s">
        <v>1915</v>
      </c>
      <c r="G19" s="163"/>
      <c r="I19" s="643"/>
      <c r="J19" s="169" t="s">
        <v>1916</v>
      </c>
      <c r="K19" s="169" t="s">
        <v>758</v>
      </c>
      <c r="L19" s="169" t="s">
        <v>1847</v>
      </c>
      <c r="M19" s="169" t="s">
        <v>1877</v>
      </c>
      <c r="N19" s="169" t="s">
        <v>1878</v>
      </c>
      <c r="O19" s="169">
        <v>2</v>
      </c>
      <c r="P19" s="169" t="s">
        <v>1913</v>
      </c>
      <c r="Q19" s="175" t="s">
        <v>77</v>
      </c>
      <c r="R19" s="176" t="b">
        <v>0</v>
      </c>
      <c r="V19" s="163"/>
      <c r="W19" s="163"/>
      <c r="X19" s="163"/>
    </row>
    <row r="20" spans="4:27" ht="16.95" customHeight="1" x14ac:dyDescent="0.25">
      <c r="D20" s="159" t="s">
        <v>80</v>
      </c>
      <c r="E20" s="164" t="s">
        <v>1917</v>
      </c>
      <c r="F20" s="164" t="s">
        <v>1918</v>
      </c>
      <c r="G20" s="163"/>
      <c r="I20" s="643"/>
      <c r="J20" s="127" t="s">
        <v>1919</v>
      </c>
      <c r="K20" s="127" t="s">
        <v>796</v>
      </c>
      <c r="L20" s="127" t="s">
        <v>1867</v>
      </c>
      <c r="M20" s="127" t="s">
        <v>1920</v>
      </c>
      <c r="N20" s="127" t="s">
        <v>1921</v>
      </c>
      <c r="O20" s="127">
        <v>6</v>
      </c>
      <c r="P20" s="127" t="s">
        <v>1922</v>
      </c>
      <c r="Q20" s="174" t="s">
        <v>77</v>
      </c>
      <c r="R20" s="177" t="s">
        <v>1923</v>
      </c>
      <c r="S20" s="177" t="s">
        <v>93</v>
      </c>
      <c r="T20" s="160" t="s">
        <v>120</v>
      </c>
      <c r="U20" s="160" t="s">
        <v>119</v>
      </c>
      <c r="V20" s="160" t="s">
        <v>70</v>
      </c>
      <c r="W20" s="171" t="s">
        <v>1924</v>
      </c>
      <c r="X20" s="171" t="s">
        <v>93</v>
      </c>
      <c r="Y20" s="172" t="s">
        <v>120</v>
      </c>
      <c r="Z20" s="172" t="s">
        <v>119</v>
      </c>
      <c r="AA20" s="172" t="s">
        <v>70</v>
      </c>
    </row>
    <row r="21" spans="4:27" ht="16.95" customHeight="1" x14ac:dyDescent="0.25">
      <c r="D21" s="159" t="s">
        <v>81</v>
      </c>
      <c r="E21" s="165" t="s">
        <v>1925</v>
      </c>
      <c r="F21" s="164" t="s">
        <v>1926</v>
      </c>
      <c r="G21" s="164" t="s">
        <v>363</v>
      </c>
      <c r="I21" s="643"/>
      <c r="J21" s="169" t="s">
        <v>1927</v>
      </c>
      <c r="K21" s="169" t="s">
        <v>810</v>
      </c>
      <c r="L21" s="169" t="s">
        <v>1867</v>
      </c>
      <c r="M21" s="169" t="s">
        <v>1928</v>
      </c>
      <c r="N21" s="169" t="s">
        <v>1929</v>
      </c>
      <c r="O21" s="169">
        <v>7</v>
      </c>
      <c r="P21" s="169" t="s">
        <v>1930</v>
      </c>
      <c r="Q21" s="175" t="s">
        <v>77</v>
      </c>
      <c r="R21" s="177" t="s">
        <v>363</v>
      </c>
      <c r="S21" s="177">
        <v>10</v>
      </c>
      <c r="T21" s="160">
        <f>主要!R14</f>
        <v>0</v>
      </c>
      <c r="U21" s="160"/>
      <c r="V21" s="160"/>
      <c r="W21" s="171" t="str">
        <f>IF(ISBLANK(主要!L31),"-",主要!L31)</f>
        <v>-</v>
      </c>
      <c r="X21" s="171">
        <f>VLOOKUP(W21,R21:T42,2,0)</f>
        <v>10</v>
      </c>
      <c r="Y21" s="172">
        <f>VLOOKUP(W21,R21:T42,3,0)</f>
        <v>0</v>
      </c>
      <c r="Z21" s="172" t="str">
        <f>IF(VLOOKUP(W21,R21:U42,4,0)=0,"",VLOOKUP(W21,R21:U42,4,0))</f>
        <v/>
      </c>
      <c r="AA21" s="172" t="str">
        <f>IFERROR(VLOOKUP(W21,R21:V42,5,0),"")&amp;""</f>
        <v/>
      </c>
    </row>
    <row r="22" spans="4:27" ht="16.95" customHeight="1" x14ac:dyDescent="0.25">
      <c r="D22" s="159" t="s">
        <v>82</v>
      </c>
      <c r="E22" s="165" t="s">
        <v>1931</v>
      </c>
      <c r="F22" s="164" t="s">
        <v>1932</v>
      </c>
      <c r="G22" s="164" t="s">
        <v>1933</v>
      </c>
      <c r="I22" s="643"/>
      <c r="J22" s="127" t="s">
        <v>1934</v>
      </c>
      <c r="K22" s="127" t="s">
        <v>1935</v>
      </c>
      <c r="L22" s="127" t="s">
        <v>1867</v>
      </c>
      <c r="M22" s="127" t="s">
        <v>1928</v>
      </c>
      <c r="N22" s="127" t="s">
        <v>1921</v>
      </c>
      <c r="O22" s="127">
        <v>6</v>
      </c>
      <c r="P22" s="127" t="s">
        <v>1936</v>
      </c>
      <c r="Q22" s="174" t="s">
        <v>77</v>
      </c>
      <c r="R22" s="160" t="s">
        <v>1937</v>
      </c>
      <c r="S22" s="160">
        <v>13</v>
      </c>
      <c r="T22" s="160">
        <f>主要!R14</f>
        <v>0</v>
      </c>
      <c r="U22" s="160"/>
      <c r="V22" s="160"/>
      <c r="X22" s="163"/>
      <c r="Y22" s="163"/>
      <c r="Z22" s="163"/>
      <c r="AA22" s="163"/>
    </row>
    <row r="23" spans="4:27" ht="16.95" customHeight="1" x14ac:dyDescent="0.25">
      <c r="D23" s="159" t="s">
        <v>83</v>
      </c>
      <c r="E23" s="165" t="s">
        <v>1938</v>
      </c>
      <c r="F23" s="164" t="s">
        <v>1939</v>
      </c>
      <c r="G23" s="163"/>
      <c r="I23" s="643"/>
      <c r="J23" s="169" t="s">
        <v>1940</v>
      </c>
      <c r="K23" s="169" t="s">
        <v>796</v>
      </c>
      <c r="L23" s="169" t="s">
        <v>1867</v>
      </c>
      <c r="M23" s="169" t="s">
        <v>1920</v>
      </c>
      <c r="N23" s="169" t="s">
        <v>1929</v>
      </c>
      <c r="O23" s="169">
        <v>6</v>
      </c>
      <c r="P23" s="169" t="s">
        <v>1922</v>
      </c>
      <c r="Q23" s="175" t="s">
        <v>77</v>
      </c>
      <c r="R23" s="160" t="s">
        <v>4339</v>
      </c>
      <c r="S23" s="160">
        <v>15</v>
      </c>
      <c r="T23" s="160">
        <f>主要!R14</f>
        <v>0</v>
      </c>
      <c r="U23" s="160"/>
      <c r="V23" s="160"/>
      <c r="X23" s="163"/>
      <c r="Y23" s="163"/>
      <c r="Z23" s="163"/>
      <c r="AA23" s="163"/>
    </row>
    <row r="24" spans="4:27" ht="16.95" customHeight="1" x14ac:dyDescent="0.25">
      <c r="E24" s="165" t="s">
        <v>1942</v>
      </c>
      <c r="F24" s="164" t="s">
        <v>1943</v>
      </c>
      <c r="G24" s="163"/>
      <c r="I24" s="643"/>
      <c r="J24" s="127" t="s">
        <v>1944</v>
      </c>
      <c r="K24" s="127" t="s">
        <v>796</v>
      </c>
      <c r="L24" s="127" t="s">
        <v>1857</v>
      </c>
      <c r="M24" s="127" t="s">
        <v>1945</v>
      </c>
      <c r="N24" s="127" t="s">
        <v>1882</v>
      </c>
      <c r="O24" s="127">
        <v>6</v>
      </c>
      <c r="P24" s="127" t="s">
        <v>1913</v>
      </c>
      <c r="Q24" s="174" t="s">
        <v>77</v>
      </c>
      <c r="R24" s="160" t="s">
        <v>774</v>
      </c>
      <c r="S24" s="160">
        <f>10+主要!R17</f>
        <v>10</v>
      </c>
      <c r="T24" s="160">
        <f>主要!R14</f>
        <v>0</v>
      </c>
      <c r="U24" s="160"/>
      <c r="V24" s="160" t="s">
        <v>1941</v>
      </c>
      <c r="X24" s="163"/>
      <c r="Y24" s="163"/>
      <c r="Z24" s="163"/>
      <c r="AA24" s="163"/>
    </row>
    <row r="25" spans="4:27" ht="16.95" customHeight="1" x14ac:dyDescent="0.25">
      <c r="E25" s="165" t="s">
        <v>1947</v>
      </c>
      <c r="F25" s="164" t="s">
        <v>1948</v>
      </c>
      <c r="G25" s="163"/>
      <c r="I25" s="643"/>
      <c r="J25" s="169" t="s">
        <v>1949</v>
      </c>
      <c r="K25" s="169" t="s">
        <v>758</v>
      </c>
      <c r="L25" s="169" t="s">
        <v>1867</v>
      </c>
      <c r="M25" s="169" t="s">
        <v>1912</v>
      </c>
      <c r="N25" s="169" t="s">
        <v>1878</v>
      </c>
      <c r="O25" s="169">
        <v>3</v>
      </c>
      <c r="P25" s="169" t="s">
        <v>1950</v>
      </c>
      <c r="Q25" s="175" t="s">
        <v>77</v>
      </c>
      <c r="R25" s="160" t="s">
        <v>748</v>
      </c>
      <c r="S25" s="160">
        <f>10+主要!R15</f>
        <v>10</v>
      </c>
      <c r="T25" s="160">
        <f>主要!R14</f>
        <v>0</v>
      </c>
      <c r="U25" s="160"/>
      <c r="V25" s="160" t="s">
        <v>1946</v>
      </c>
      <c r="X25" s="163"/>
      <c r="Y25" s="163"/>
      <c r="Z25" s="163"/>
      <c r="AA25" s="163"/>
    </row>
    <row r="26" spans="4:27" ht="16.95" customHeight="1" x14ac:dyDescent="0.25">
      <c r="E26" s="165" t="s">
        <v>1952</v>
      </c>
      <c r="F26" s="164" t="s">
        <v>217</v>
      </c>
      <c r="G26" s="163"/>
      <c r="H26" s="163"/>
      <c r="I26" s="643"/>
      <c r="J26" s="127" t="s">
        <v>1953</v>
      </c>
      <c r="K26" s="127" t="s">
        <v>1935</v>
      </c>
      <c r="L26" s="127" t="s">
        <v>1847</v>
      </c>
      <c r="M26" s="127" t="s">
        <v>1928</v>
      </c>
      <c r="N26" s="127" t="s">
        <v>1882</v>
      </c>
      <c r="O26" s="127">
        <v>10</v>
      </c>
      <c r="P26" s="127" t="s">
        <v>1913</v>
      </c>
      <c r="Q26" s="174" t="s">
        <v>77</v>
      </c>
      <c r="R26" s="160" t="s">
        <v>4723</v>
      </c>
      <c r="S26" s="160">
        <f>10+主要!R18</f>
        <v>10</v>
      </c>
      <c r="T26" s="160">
        <f>主要!R14</f>
        <v>0</v>
      </c>
      <c r="U26" s="160"/>
      <c r="V26" s="160" t="s">
        <v>4724</v>
      </c>
      <c r="X26" s="163"/>
      <c r="Y26" s="163"/>
      <c r="Z26" s="163"/>
      <c r="AA26" s="163"/>
    </row>
    <row r="27" spans="4:27" ht="16.95" customHeight="1" x14ac:dyDescent="0.25">
      <c r="E27" s="164" t="s">
        <v>1955</v>
      </c>
      <c r="F27" s="163"/>
      <c r="G27" s="163"/>
      <c r="I27" s="643"/>
      <c r="J27" s="169" t="s">
        <v>1956</v>
      </c>
      <c r="K27" s="169" t="s">
        <v>758</v>
      </c>
      <c r="L27" s="169" t="s">
        <v>1857</v>
      </c>
      <c r="M27" s="169" t="s">
        <v>1877</v>
      </c>
      <c r="N27" s="169" t="s">
        <v>1878</v>
      </c>
      <c r="O27" s="169">
        <v>4</v>
      </c>
      <c r="P27" s="169" t="s">
        <v>1950</v>
      </c>
      <c r="Q27" s="175" t="s">
        <v>77</v>
      </c>
      <c r="R27" s="160" t="s">
        <v>1951</v>
      </c>
      <c r="S27" s="160">
        <f>10+主要!R18</f>
        <v>10</v>
      </c>
      <c r="T27" s="160">
        <f>主要!R14</f>
        <v>0</v>
      </c>
      <c r="U27" s="160"/>
      <c r="V27" s="160" t="s">
        <v>4724</v>
      </c>
      <c r="X27" s="163"/>
      <c r="Y27" s="163"/>
      <c r="Z27" s="163"/>
      <c r="AA27" s="163"/>
    </row>
    <row r="28" spans="4:27" ht="16.95" customHeight="1" x14ac:dyDescent="0.25">
      <c r="E28" s="164" t="s">
        <v>1959</v>
      </c>
      <c r="F28" s="163"/>
      <c r="G28" s="163"/>
      <c r="I28" s="643"/>
      <c r="J28" s="127" t="s">
        <v>1960</v>
      </c>
      <c r="K28" s="127" t="s">
        <v>796</v>
      </c>
      <c r="L28" s="127" t="s">
        <v>1857</v>
      </c>
      <c r="M28" s="127" t="s">
        <v>1920</v>
      </c>
      <c r="N28" s="127" t="s">
        <v>1864</v>
      </c>
      <c r="O28" s="127">
        <v>18</v>
      </c>
      <c r="P28" s="127" t="s">
        <v>1870</v>
      </c>
      <c r="Q28" s="174" t="s">
        <v>77</v>
      </c>
      <c r="R28" s="160" t="s">
        <v>1954</v>
      </c>
      <c r="S28" s="160">
        <v>10</v>
      </c>
      <c r="T28" s="160">
        <f>主要!R14</f>
        <v>0</v>
      </c>
      <c r="U28" s="160"/>
      <c r="V28" s="160"/>
      <c r="X28" s="163"/>
      <c r="Y28" s="163"/>
      <c r="Z28" s="163"/>
      <c r="AA28" s="163"/>
    </row>
    <row r="29" spans="4:27" ht="16.95" customHeight="1" x14ac:dyDescent="0.25">
      <c r="E29" s="164" t="s">
        <v>1863</v>
      </c>
      <c r="F29" s="163"/>
      <c r="G29" s="163"/>
      <c r="I29" s="643"/>
      <c r="J29" s="169" t="s">
        <v>1962</v>
      </c>
      <c r="K29" s="169" t="s">
        <v>758</v>
      </c>
      <c r="L29" s="169" t="s">
        <v>1857</v>
      </c>
      <c r="M29" s="169" t="s">
        <v>1963</v>
      </c>
      <c r="N29" s="169" t="s">
        <v>1869</v>
      </c>
      <c r="O29" s="169">
        <v>2</v>
      </c>
      <c r="P29" s="169" t="s">
        <v>1900</v>
      </c>
      <c r="Q29" s="175" t="str">
        <f>IF(主要!R13&gt;=主要!R14,"力量","敏捷")</f>
        <v>力量</v>
      </c>
      <c r="R29" s="177" t="s">
        <v>1957</v>
      </c>
      <c r="S29" s="177">
        <v>11</v>
      </c>
      <c r="T29" s="160">
        <f>主要!R14</f>
        <v>0</v>
      </c>
      <c r="U29" s="160">
        <v>8</v>
      </c>
      <c r="V29" s="160" t="s">
        <v>1958</v>
      </c>
      <c r="X29" s="163"/>
      <c r="Y29" s="163"/>
      <c r="Z29" s="163"/>
      <c r="AA29" s="163"/>
    </row>
    <row r="30" spans="4:27" ht="16.95" customHeight="1" x14ac:dyDescent="0.25">
      <c r="E30" s="164" t="s">
        <v>1965</v>
      </c>
      <c r="F30" s="163"/>
      <c r="G30" s="163"/>
      <c r="I30" s="643"/>
      <c r="J30" s="127" t="s">
        <v>1966</v>
      </c>
      <c r="K30" s="127" t="s">
        <v>747</v>
      </c>
      <c r="L30" s="127" t="s">
        <v>1867</v>
      </c>
      <c r="M30" s="127" t="s">
        <v>1967</v>
      </c>
      <c r="N30" s="127" t="s">
        <v>1859</v>
      </c>
      <c r="O30" s="127">
        <v>3</v>
      </c>
      <c r="P30" s="127" t="s">
        <v>1900</v>
      </c>
      <c r="Q30" s="174" t="str">
        <f>IF(主要!R13&gt;=主要!R14,"力量","敏捷")</f>
        <v>力量</v>
      </c>
      <c r="R30" s="177" t="s">
        <v>1961</v>
      </c>
      <c r="S30" s="177">
        <v>11</v>
      </c>
      <c r="T30" s="160">
        <f>主要!R14</f>
        <v>0</v>
      </c>
      <c r="U30" s="160">
        <v>10</v>
      </c>
      <c r="V30" s="160"/>
      <c r="X30" s="163"/>
      <c r="Y30" s="163"/>
      <c r="Z30" s="163"/>
      <c r="AA30" s="163"/>
    </row>
    <row r="31" spans="4:27" ht="16.95" customHeight="1" x14ac:dyDescent="0.25">
      <c r="E31" s="164" t="s">
        <v>1969</v>
      </c>
      <c r="F31" s="163"/>
      <c r="G31" s="163"/>
      <c r="H31" s="163"/>
      <c r="I31" s="643"/>
      <c r="J31" s="169" t="s">
        <v>1970</v>
      </c>
      <c r="K31" s="169" t="s">
        <v>747</v>
      </c>
      <c r="L31" s="169" t="s">
        <v>1857</v>
      </c>
      <c r="M31" s="169" t="s">
        <v>1967</v>
      </c>
      <c r="N31" s="169" t="s">
        <v>1869</v>
      </c>
      <c r="O31" s="169">
        <v>2</v>
      </c>
      <c r="P31" s="169" t="s">
        <v>1913</v>
      </c>
      <c r="Q31" s="175" t="str">
        <f>IF(主要!R13&gt;=主要!R14,"力量","敏捷")</f>
        <v>力量</v>
      </c>
      <c r="R31" s="177" t="s">
        <v>1964</v>
      </c>
      <c r="S31" s="177">
        <v>12</v>
      </c>
      <c r="T31" s="160">
        <f>主要!R14</f>
        <v>0</v>
      </c>
      <c r="U31" s="160">
        <v>13</v>
      </c>
      <c r="V31" s="160"/>
      <c r="X31" s="163"/>
      <c r="Y31" s="163"/>
      <c r="Z31" s="163"/>
      <c r="AA31" s="163"/>
    </row>
    <row r="32" spans="4:27" ht="16.95" customHeight="1" x14ac:dyDescent="0.25">
      <c r="E32" s="164" t="s">
        <v>1972</v>
      </c>
      <c r="F32" s="163"/>
      <c r="G32" s="163"/>
      <c r="I32" s="643"/>
      <c r="J32" s="127" t="s">
        <v>1973</v>
      </c>
      <c r="K32" s="127" t="s">
        <v>758</v>
      </c>
      <c r="L32" s="127" t="s">
        <v>1857</v>
      </c>
      <c r="M32" s="127" t="s">
        <v>1974</v>
      </c>
      <c r="N32" s="127" t="s">
        <v>1882</v>
      </c>
      <c r="O32" s="127">
        <v>4</v>
      </c>
      <c r="P32" s="127" t="s">
        <v>1870</v>
      </c>
      <c r="Q32" s="174" t="s">
        <v>77</v>
      </c>
      <c r="R32" s="160" t="s">
        <v>1968</v>
      </c>
      <c r="S32" s="160">
        <v>10</v>
      </c>
      <c r="T32" s="160">
        <f>主要!R14</f>
        <v>0</v>
      </c>
      <c r="U32" s="160"/>
      <c r="V32" s="160"/>
      <c r="X32" s="163"/>
      <c r="Y32" s="163"/>
      <c r="Z32" s="163"/>
    </row>
    <row r="33" spans="5:26" ht="16.95" customHeight="1" x14ac:dyDescent="0.25">
      <c r="E33" s="161" t="s">
        <v>1976</v>
      </c>
      <c r="F33" s="163"/>
      <c r="G33" s="163"/>
      <c r="I33" s="643"/>
      <c r="J33" s="169" t="s">
        <v>1977</v>
      </c>
      <c r="K33" s="169" t="s">
        <v>758</v>
      </c>
      <c r="L33" s="169" t="s">
        <v>1857</v>
      </c>
      <c r="M33" s="169" t="s">
        <v>1912</v>
      </c>
      <c r="N33" s="169" t="s">
        <v>1878</v>
      </c>
      <c r="O33" s="169">
        <v>2</v>
      </c>
      <c r="P33" s="169" t="s">
        <v>1870</v>
      </c>
      <c r="Q33" s="175" t="s">
        <v>77</v>
      </c>
      <c r="R33" s="177" t="s">
        <v>1971</v>
      </c>
      <c r="S33" s="177">
        <v>12</v>
      </c>
      <c r="T33" s="160">
        <f>IF(主要!R14&gt;=2,2,主要!R14)</f>
        <v>0</v>
      </c>
      <c r="U33" s="160">
        <v>12</v>
      </c>
      <c r="V33" s="160"/>
      <c r="X33" s="163"/>
      <c r="Y33" s="163"/>
      <c r="Z33" s="163"/>
    </row>
    <row r="34" spans="5:26" ht="16.95" customHeight="1" x14ac:dyDescent="0.25">
      <c r="I34" s="643"/>
      <c r="J34" s="127" t="s">
        <v>1979</v>
      </c>
      <c r="K34" s="127" t="s">
        <v>758</v>
      </c>
      <c r="L34" s="127" t="s">
        <v>1847</v>
      </c>
      <c r="M34" s="127" t="s">
        <v>1912</v>
      </c>
      <c r="N34" s="127" t="s">
        <v>1864</v>
      </c>
      <c r="O34" s="127">
        <v>2</v>
      </c>
      <c r="P34" s="127" t="s">
        <v>1950</v>
      </c>
      <c r="Q34" s="174" t="s">
        <v>77</v>
      </c>
      <c r="R34" s="177" t="s">
        <v>1975</v>
      </c>
      <c r="S34" s="177">
        <v>13</v>
      </c>
      <c r="T34" s="160">
        <f>IF(主要!R14&gt;=2,2,主要!R14)</f>
        <v>0</v>
      </c>
      <c r="U34" s="160">
        <v>20</v>
      </c>
      <c r="V34" s="160"/>
      <c r="W34" s="163"/>
      <c r="X34" s="163"/>
    </row>
    <row r="35" spans="5:26" ht="16.95" customHeight="1" x14ac:dyDescent="0.25">
      <c r="I35" s="643"/>
      <c r="J35" s="169" t="s">
        <v>1981</v>
      </c>
      <c r="K35" s="169" t="s">
        <v>1851</v>
      </c>
      <c r="L35" s="169" t="s">
        <v>1867</v>
      </c>
      <c r="M35" s="169" t="s">
        <v>1982</v>
      </c>
      <c r="N35" s="169" t="s">
        <v>1853</v>
      </c>
      <c r="O35" s="169">
        <v>3</v>
      </c>
      <c r="P35" s="169" t="s">
        <v>1860</v>
      </c>
      <c r="Q35" s="175" t="str">
        <f>IF(主要!R13&gt;=主要!R14,"力量","敏捷")</f>
        <v>力量</v>
      </c>
      <c r="R35" s="177" t="s">
        <v>1978</v>
      </c>
      <c r="S35" s="177">
        <v>14</v>
      </c>
      <c r="T35" s="160">
        <f>IF(主要!R14&gt;=2,2,主要!R14)</f>
        <v>0</v>
      </c>
      <c r="U35" s="160">
        <v>45</v>
      </c>
      <c r="V35" s="160" t="s">
        <v>1958</v>
      </c>
      <c r="X35" s="163"/>
      <c r="Y35" s="163"/>
      <c r="Z35" s="163"/>
    </row>
    <row r="36" spans="5:26" ht="16.95" customHeight="1" x14ac:dyDescent="0.25">
      <c r="I36" s="640" t="s">
        <v>1984</v>
      </c>
      <c r="J36" s="127" t="s">
        <v>1985</v>
      </c>
      <c r="K36" s="127">
        <v>1</v>
      </c>
      <c r="L36" s="127" t="s">
        <v>1857</v>
      </c>
      <c r="M36" s="127" t="s">
        <v>1986</v>
      </c>
      <c r="N36" s="127" t="s">
        <v>1869</v>
      </c>
      <c r="O36" s="127">
        <v>1</v>
      </c>
      <c r="P36" s="127" t="s">
        <v>1913</v>
      </c>
      <c r="Q36" s="174" t="s">
        <v>79</v>
      </c>
      <c r="R36" s="177" t="s">
        <v>1980</v>
      </c>
      <c r="S36" s="177">
        <v>14</v>
      </c>
      <c r="T36" s="160">
        <f>IF(主要!R14&gt;=2,2,主要!R14)</f>
        <v>0</v>
      </c>
      <c r="U36" s="160">
        <v>20</v>
      </c>
      <c r="V36" s="160"/>
      <c r="X36" s="163"/>
      <c r="Y36" s="163"/>
      <c r="Z36" s="163"/>
    </row>
    <row r="37" spans="5:26" ht="16.95" customHeight="1" x14ac:dyDescent="0.25">
      <c r="I37" s="640"/>
      <c r="J37" s="169" t="s">
        <v>1988</v>
      </c>
      <c r="K37" s="169" t="s">
        <v>747</v>
      </c>
      <c r="L37" s="169" t="s">
        <v>1857</v>
      </c>
      <c r="M37" s="169" t="s">
        <v>1989</v>
      </c>
      <c r="N37" s="169" t="s">
        <v>1869</v>
      </c>
      <c r="O37" s="169">
        <v>3</v>
      </c>
      <c r="P37" s="169" t="s">
        <v>1990</v>
      </c>
      <c r="Q37" s="175" t="s">
        <v>79</v>
      </c>
      <c r="R37" s="177" t="s">
        <v>1983</v>
      </c>
      <c r="S37" s="177">
        <v>15</v>
      </c>
      <c r="T37" s="160">
        <f>IF(主要!R14&gt;=2,2,主要!R14)</f>
        <v>0</v>
      </c>
      <c r="U37" s="160">
        <v>40</v>
      </c>
      <c r="V37" s="160" t="s">
        <v>1958</v>
      </c>
      <c r="X37" s="163"/>
      <c r="Y37" s="163"/>
      <c r="Z37" s="163"/>
    </row>
    <row r="38" spans="5:26" ht="16.95" customHeight="1" x14ac:dyDescent="0.25">
      <c r="G38" s="163" t="str">
        <f>IFERROR(VLOOKUP(主要!P31,装备!R21:S42,2,FALSE),"")</f>
        <v/>
      </c>
      <c r="H38" s="163"/>
      <c r="I38" s="640"/>
      <c r="J38" s="127" t="s">
        <v>1992</v>
      </c>
      <c r="K38" s="127" t="s">
        <v>796</v>
      </c>
      <c r="L38" s="127" t="s">
        <v>1857</v>
      </c>
      <c r="M38" s="127" t="s">
        <v>1993</v>
      </c>
      <c r="N38" s="127" t="s">
        <v>1864</v>
      </c>
      <c r="O38" s="127">
        <v>18</v>
      </c>
      <c r="P38" s="127" t="s">
        <v>1936</v>
      </c>
      <c r="Q38" s="174" t="s">
        <v>79</v>
      </c>
      <c r="R38" s="160" t="s">
        <v>1987</v>
      </c>
      <c r="S38" s="160">
        <v>10</v>
      </c>
      <c r="T38" s="160">
        <f>主要!R14</f>
        <v>0</v>
      </c>
      <c r="U38" s="160"/>
      <c r="V38" s="160"/>
      <c r="X38" s="163"/>
      <c r="Y38" s="163"/>
      <c r="Z38" s="163"/>
    </row>
    <row r="39" spans="5:26" ht="16.95" customHeight="1" x14ac:dyDescent="0.25">
      <c r="G39" s="163" t="str">
        <f>IFERROR(VLOOKUP(主要!O31,装备!R21:S42,3,FALSE),"")</f>
        <v/>
      </c>
      <c r="H39" s="163"/>
      <c r="I39" s="640"/>
      <c r="J39" s="169" t="s">
        <v>1996</v>
      </c>
      <c r="K39" s="169" t="s">
        <v>758</v>
      </c>
      <c r="L39" s="169" t="s">
        <v>1857</v>
      </c>
      <c r="M39" s="169" t="s">
        <v>1997</v>
      </c>
      <c r="N39" s="169" t="s">
        <v>1853</v>
      </c>
      <c r="O39" s="169">
        <v>2</v>
      </c>
      <c r="P39" s="169" t="s">
        <v>1936</v>
      </c>
      <c r="Q39" s="175" t="s">
        <v>79</v>
      </c>
      <c r="R39" s="177" t="s">
        <v>1991</v>
      </c>
      <c r="S39" s="177">
        <v>14</v>
      </c>
      <c r="T39" s="160">
        <v>0</v>
      </c>
      <c r="U39" s="160">
        <v>40</v>
      </c>
      <c r="V39" s="160" t="s">
        <v>1958</v>
      </c>
      <c r="X39" s="163"/>
      <c r="Y39" s="163"/>
      <c r="Z39" s="163"/>
    </row>
    <row r="40" spans="5:26" ht="16.95" customHeight="1" x14ac:dyDescent="0.25">
      <c r="G40" s="163" t="str">
        <f>IF(OR(装备!G39=0,装备!G39=""),"OK",IF(主要!F13&gt;装备!G39,"OK","NO"))</f>
        <v>OK</v>
      </c>
      <c r="H40" s="163"/>
      <c r="I40" s="640"/>
      <c r="J40" s="127" t="s">
        <v>2000</v>
      </c>
      <c r="K40" s="127" t="s">
        <v>810</v>
      </c>
      <c r="L40" s="127" t="s">
        <v>1857</v>
      </c>
      <c r="M40" s="127" t="s">
        <v>2001</v>
      </c>
      <c r="N40" s="127" t="s">
        <v>1853</v>
      </c>
      <c r="O40" s="127">
        <v>10</v>
      </c>
      <c r="P40" s="127" t="s">
        <v>2002</v>
      </c>
      <c r="Q40" s="174" t="s">
        <v>79</v>
      </c>
      <c r="R40" s="177" t="s">
        <v>1994</v>
      </c>
      <c r="S40" s="177">
        <v>16</v>
      </c>
      <c r="T40" s="160">
        <v>0</v>
      </c>
      <c r="U40" s="160">
        <v>55</v>
      </c>
      <c r="V40" s="160" t="s">
        <v>1995</v>
      </c>
      <c r="X40" s="163"/>
      <c r="Y40" s="163"/>
      <c r="Z40" s="163"/>
    </row>
    <row r="41" spans="5:26" ht="16.95" customHeight="1" x14ac:dyDescent="0.25">
      <c r="G41" s="163"/>
      <c r="H41" s="163"/>
      <c r="I41" s="640"/>
      <c r="J41" s="169" t="s">
        <v>2004</v>
      </c>
      <c r="K41" s="169" t="s">
        <v>796</v>
      </c>
      <c r="L41" s="169" t="s">
        <v>1857</v>
      </c>
      <c r="M41" s="169" t="s">
        <v>2005</v>
      </c>
      <c r="N41" s="169" t="s">
        <v>1869</v>
      </c>
      <c r="O41" s="169">
        <v>3</v>
      </c>
      <c r="P41" s="169" t="s">
        <v>2006</v>
      </c>
      <c r="Q41" s="175" t="s">
        <v>79</v>
      </c>
      <c r="R41" s="177" t="s">
        <v>1998</v>
      </c>
      <c r="S41" s="177">
        <v>17</v>
      </c>
      <c r="T41" s="160">
        <v>0</v>
      </c>
      <c r="U41" s="160">
        <v>60</v>
      </c>
      <c r="V41" s="160" t="s">
        <v>1999</v>
      </c>
      <c r="W41" s="163"/>
      <c r="X41" s="163"/>
      <c r="Y41" s="163"/>
    </row>
    <row r="42" spans="5:26" ht="16.95" customHeight="1" x14ac:dyDescent="0.25">
      <c r="G42" s="163"/>
      <c r="H42" s="163"/>
      <c r="I42" s="639" t="s">
        <v>4329</v>
      </c>
      <c r="J42" s="159" t="str">
        <f>自定义调整栏!Q4</f>
        <v>自定义武器1</v>
      </c>
      <c r="K42" s="159" t="str">
        <f>IF(自定义调整栏!S4="","",自定义调整栏!S4)</f>
        <v/>
      </c>
      <c r="L42" s="159" t="str">
        <f>IF(自定义调整栏!T4="","",自定义调整栏!T4)</f>
        <v/>
      </c>
      <c r="M42" s="159" t="str">
        <f>IF(自定义调整栏!U4="","",自定义调整栏!U4)</f>
        <v/>
      </c>
      <c r="N42" s="159" t="str">
        <f>IF(自定义调整栏!V4="","",自定义调整栏!V4)</f>
        <v/>
      </c>
      <c r="O42" s="159" t="str">
        <f>IF(自定义调整栏!W4="","",自定义调整栏!W4)</f>
        <v/>
      </c>
      <c r="P42" s="159" t="s">
        <v>4336</v>
      </c>
      <c r="Q42" s="159" t="str">
        <f>IF(自定义调整栏!X4="","",自定义调整栏!X4)</f>
        <v>力量</v>
      </c>
      <c r="R42" s="177" t="s">
        <v>2003</v>
      </c>
      <c r="S42" s="177">
        <v>18</v>
      </c>
      <c r="T42" s="160">
        <v>0</v>
      </c>
      <c r="U42" s="160">
        <v>65</v>
      </c>
      <c r="V42" s="160" t="s">
        <v>1999</v>
      </c>
    </row>
    <row r="43" spans="5:26" ht="16.95" customHeight="1" x14ac:dyDescent="0.25">
      <c r="G43" s="163"/>
      <c r="H43" s="163"/>
      <c r="I43" s="639"/>
      <c r="J43" s="159" t="str">
        <f>自定义调整栏!Q6</f>
        <v>自定义武器2</v>
      </c>
      <c r="K43" s="159" t="str">
        <f>IF(自定义调整栏!S6="","",自定义调整栏!S6)</f>
        <v/>
      </c>
      <c r="L43" s="159" t="str">
        <f>IF(自定义调整栏!T6="","",自定义调整栏!T6)</f>
        <v/>
      </c>
      <c r="M43" s="159" t="str">
        <f>IF(自定义调整栏!U6="","",自定义调整栏!U6)</f>
        <v/>
      </c>
      <c r="N43" s="159" t="str">
        <f>IF(自定义调整栏!V6="","",自定义调整栏!V6)</f>
        <v/>
      </c>
      <c r="O43" s="159" t="str">
        <f>IF(自定义调整栏!W6="","",自定义调整栏!W6)</f>
        <v/>
      </c>
      <c r="P43" s="159" t="s">
        <v>4336</v>
      </c>
      <c r="Q43" s="159" t="str">
        <f>IF(自定义调整栏!X6="","",自定义调整栏!X6)</f>
        <v>力量</v>
      </c>
    </row>
    <row r="44" spans="5:26" ht="16.95" customHeight="1" x14ac:dyDescent="0.25">
      <c r="G44" s="163"/>
      <c r="H44" s="163"/>
      <c r="I44" s="639"/>
      <c r="J44" s="159" t="str">
        <f>自定义调整栏!Q8</f>
        <v>自定义武器3</v>
      </c>
      <c r="K44" s="159" t="str">
        <f>IF(自定义调整栏!S8="","",自定义调整栏!S8)</f>
        <v/>
      </c>
      <c r="L44" s="159" t="str">
        <f>IF(自定义调整栏!T8="","",自定义调整栏!T8)</f>
        <v/>
      </c>
      <c r="M44" s="159" t="str">
        <f>IF(自定义调整栏!U8="","",自定义调整栏!U8)</f>
        <v/>
      </c>
      <c r="N44" s="159" t="str">
        <f>IF(自定义调整栏!V8="","",自定义调整栏!V8)</f>
        <v/>
      </c>
      <c r="O44" s="159" t="str">
        <f>IF(自定义调整栏!W8="","",自定义调整栏!W8)</f>
        <v/>
      </c>
      <c r="P44" s="159" t="s">
        <v>4336</v>
      </c>
      <c r="Q44" s="159" t="str">
        <f>IF(自定义调整栏!X8="","",自定义调整栏!X8)</f>
        <v>力量</v>
      </c>
    </row>
    <row r="45" spans="5:26" ht="16.95" customHeight="1" x14ac:dyDescent="0.25">
      <c r="G45" s="163"/>
      <c r="H45" s="163"/>
    </row>
    <row r="46" spans="5:26" ht="16.95" customHeight="1" x14ac:dyDescent="0.25">
      <c r="G46" s="163"/>
      <c r="H46" s="163"/>
    </row>
    <row r="47" spans="5:26" ht="16.95" customHeight="1" x14ac:dyDescent="0.25">
      <c r="G47" s="163"/>
      <c r="H47" s="163"/>
    </row>
    <row r="48" spans="5:26" ht="16.95" customHeight="1" x14ac:dyDescent="0.25">
      <c r="G48" s="163"/>
      <c r="H48" s="163"/>
    </row>
  </sheetData>
  <mergeCells count="7">
    <mergeCell ref="I42:I44"/>
    <mergeCell ref="I36:I41"/>
    <mergeCell ref="A1:B1"/>
    <mergeCell ref="X1:Y1"/>
    <mergeCell ref="I4:I13"/>
    <mergeCell ref="I14:I17"/>
    <mergeCell ref="I18:I35"/>
  </mergeCells>
  <phoneticPr fontId="86"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U159"/>
  <sheetViews>
    <sheetView zoomScale="70" zoomScaleNormal="70" workbookViewId="0">
      <pane xSplit="4" topLeftCell="M1" activePane="topRight" state="frozen"/>
      <selection pane="topRight" activeCell="AK16" sqref="AK16"/>
    </sheetView>
  </sheetViews>
  <sheetFormatPr defaultColWidth="8.88671875" defaultRowHeight="14.4" customHeight="1" x14ac:dyDescent="0.25"/>
  <cols>
    <col min="1" max="4" width="8.88671875" style="131"/>
    <col min="5" max="8" width="8.88671875" style="132"/>
    <col min="9" max="9" width="8.88671875" style="133"/>
    <col min="10" max="40" width="8.88671875" style="131"/>
    <col min="41" max="16384" width="8.88671875" style="132"/>
  </cols>
  <sheetData>
    <row r="1" spans="1:42" ht="14.4" customHeight="1" x14ac:dyDescent="0.25">
      <c r="A1" s="134" t="s">
        <v>57</v>
      </c>
      <c r="B1" s="134" t="s">
        <v>2007</v>
      </c>
      <c r="C1" s="134" t="s">
        <v>2008</v>
      </c>
      <c r="D1" s="131" t="s">
        <v>2009</v>
      </c>
      <c r="E1" s="135" t="s">
        <v>2010</v>
      </c>
      <c r="F1" s="136" t="s">
        <v>2011</v>
      </c>
      <c r="G1" s="135" t="s">
        <v>99</v>
      </c>
      <c r="H1" s="135" t="s">
        <v>101</v>
      </c>
      <c r="J1" s="139"/>
      <c r="K1" s="134" t="s">
        <v>62</v>
      </c>
      <c r="L1" s="135" t="s">
        <v>723</v>
      </c>
      <c r="M1" s="135"/>
      <c r="N1" s="135"/>
      <c r="O1" s="135"/>
      <c r="P1" s="135"/>
      <c r="Q1" s="135"/>
      <c r="R1" s="135"/>
      <c r="S1" s="135"/>
      <c r="T1" s="135"/>
      <c r="U1" s="134"/>
      <c r="V1" s="134"/>
      <c r="W1" s="134"/>
      <c r="X1" s="134"/>
      <c r="Y1" s="134"/>
      <c r="Z1" s="146"/>
      <c r="AA1" s="134" t="s">
        <v>99</v>
      </c>
      <c r="AB1" s="147" t="s">
        <v>2012</v>
      </c>
      <c r="AC1" s="648" t="s">
        <v>2013</v>
      </c>
      <c r="AD1" s="649"/>
      <c r="AE1" s="650" t="s">
        <v>27</v>
      </c>
      <c r="AF1" s="648"/>
      <c r="AG1" s="648"/>
      <c r="AH1" s="649"/>
      <c r="AI1" s="648" t="s">
        <v>744</v>
      </c>
      <c r="AJ1" s="648"/>
      <c r="AK1" s="651" t="s">
        <v>2014</v>
      </c>
      <c r="AL1" s="652"/>
      <c r="AM1" s="653"/>
      <c r="AN1" s="135"/>
    </row>
    <row r="2" spans="1:42" ht="14.4" customHeight="1" x14ac:dyDescent="0.25">
      <c r="A2" s="137" t="s">
        <v>2015</v>
      </c>
      <c r="B2" s="137">
        <v>1</v>
      </c>
      <c r="C2" s="137">
        <v>1</v>
      </c>
      <c r="D2" s="137">
        <v>8</v>
      </c>
      <c r="E2" s="138" t="s">
        <v>2015</v>
      </c>
      <c r="F2" s="132" t="s">
        <v>2016</v>
      </c>
      <c r="G2" s="132" t="s">
        <v>2017</v>
      </c>
      <c r="H2" s="132" t="s">
        <v>2018</v>
      </c>
      <c r="J2" s="138" t="s">
        <v>2015</v>
      </c>
      <c r="K2" s="132"/>
      <c r="L2" s="132"/>
      <c r="M2" s="132"/>
      <c r="N2" s="132"/>
      <c r="T2" s="131" t="str">
        <f t="shared" ref="T2:Z2" si="0">""</f>
        <v/>
      </c>
      <c r="U2" s="131" t="str">
        <f t="shared" si="0"/>
        <v/>
      </c>
      <c r="V2" s="131" t="str">
        <f t="shared" si="0"/>
        <v/>
      </c>
      <c r="W2" s="131" t="str">
        <f t="shared" si="0"/>
        <v/>
      </c>
      <c r="X2" s="131" t="str">
        <f t="shared" si="0"/>
        <v/>
      </c>
      <c r="Y2" s="131" t="str">
        <f t="shared" si="0"/>
        <v/>
      </c>
      <c r="Z2" s="148" t="str">
        <f t="shared" si="0"/>
        <v/>
      </c>
      <c r="AA2" s="131" t="s">
        <v>335</v>
      </c>
      <c r="AB2" s="149" t="str" cm="1">
        <f t="array" ref="AB2">INDEX(J:J,SMALL(IF(J2:J51&lt;&gt;"",ROW(2:51),52),ROW(J1)))&amp;""</f>
        <v>阿斯莫</v>
      </c>
      <c r="AC2" s="131" t="e">
        <f>VLOOKUP(AE3,A2:B33,2,0)</f>
        <v>#N/A</v>
      </c>
      <c r="AD2" s="131" t="e">
        <f t="array" ref="AD2">INDEX(AC:AC,SMALL(IF(AC3:AC15&lt;&gt;"",ROW(3:15),16),ROW(AC1)))&amp;""</f>
        <v>#N/A</v>
      </c>
      <c r="AE2" s="150">
        <f>主要!O6</f>
        <v>1</v>
      </c>
      <c r="AF2" s="131" t="s">
        <v>2007</v>
      </c>
      <c r="AG2" s="131" t="s">
        <v>2008</v>
      </c>
      <c r="AH2" s="148" t="s">
        <v>2009</v>
      </c>
      <c r="AI2" s="131" t="str">
        <f>IFERROR(IF(COUNTIF(AK2:AK15,AF6),"",AF6),"")</f>
        <v>生物种类</v>
      </c>
      <c r="AJ2" s="131" t="str" cm="1">
        <f t="array" ref="AJ2">INDEX(AI:AI,SMALL(IF(AI2:AI17&lt;&gt;"",ROW(2:17),17),ROW(AI1)))&amp;""</f>
        <v>生物种类</v>
      </c>
      <c r="AK2" s="138">
        <f>IF(主要!BT3="",0,主要!BT3)</f>
        <v>0</v>
      </c>
      <c r="AL2" s="132" t="str">
        <f>IFERROR(VLOOKUP(AK2,AF6:AG21,2,0),"")</f>
        <v/>
      </c>
      <c r="AM2" s="155" t="str">
        <f>IF(AK2=0,"",COUNTIF(AK2:AK15,AK2))</f>
        <v/>
      </c>
      <c r="AN2" s="132"/>
      <c r="AP2" s="131"/>
    </row>
    <row r="3" spans="1:42" ht="14.4" customHeight="1" x14ac:dyDescent="0.25">
      <c r="A3" s="137" t="s">
        <v>2019</v>
      </c>
      <c r="B3" s="137">
        <v>2</v>
      </c>
      <c r="C3" s="137">
        <v>1</v>
      </c>
      <c r="D3" s="137">
        <v>5</v>
      </c>
      <c r="E3" s="138" t="s">
        <v>2019</v>
      </c>
      <c r="F3" s="132" t="s">
        <v>2016</v>
      </c>
      <c r="G3" s="132" t="s">
        <v>2020</v>
      </c>
      <c r="H3" s="132" t="s">
        <v>2018</v>
      </c>
      <c r="J3" s="138" t="s">
        <v>2019</v>
      </c>
      <c r="K3" s="132"/>
      <c r="L3" s="132"/>
      <c r="M3" s="132"/>
      <c r="N3" s="132"/>
      <c r="O3" s="132"/>
      <c r="P3" s="132"/>
      <c r="Q3" s="132"/>
      <c r="R3" s="132"/>
      <c r="S3" s="127"/>
      <c r="T3" s="131" t="str">
        <f t="shared" ref="T3:Z3" si="1">""</f>
        <v/>
      </c>
      <c r="U3" s="131" t="str">
        <f t="shared" si="1"/>
        <v/>
      </c>
      <c r="V3" s="131" t="str">
        <f t="shared" si="1"/>
        <v/>
      </c>
      <c r="W3" s="131" t="str">
        <f t="shared" si="1"/>
        <v/>
      </c>
      <c r="X3" s="131" t="str">
        <f t="shared" si="1"/>
        <v/>
      </c>
      <c r="Y3" s="131" t="str">
        <f t="shared" si="1"/>
        <v/>
      </c>
      <c r="Z3" s="148" t="str">
        <f t="shared" si="1"/>
        <v/>
      </c>
      <c r="AA3" s="131" t="s">
        <v>342</v>
      </c>
      <c r="AB3" s="149" t="str" cm="1">
        <f t="array" ref="AB3">INDEX(J:J,SMALL(IF(J2:J51&lt;&gt;"",ROW(2:51),52),ROW(J2)))&amp;""</f>
        <v>龙裔</v>
      </c>
      <c r="AC3" s="131" t="e">
        <f>INDEX(K2:T51,AC2,1)&amp;""</f>
        <v>#N/A</v>
      </c>
      <c r="AD3" s="131" t="e">
        <f t="array" ref="AD3">INDEX(AC:AC,SMALL(IF(AC3:AC15&lt;&gt;"",ROW(3:15),16),ROW(AC2)))&amp;""</f>
        <v>#N/A</v>
      </c>
      <c r="AE3" s="150">
        <f>IF(主要!T6="",0,主要!T6)</f>
        <v>0</v>
      </c>
      <c r="AF3" s="131" t="e">
        <f>IF(COUNTIF(AC13:AC15,AE4)=0,VLOOKUP(AE3,A:B,2,0)*2,VLOOKUP(AE4,A:B,2,0)*2)</f>
        <v>#N/A</v>
      </c>
      <c r="AH3" s="148" t="e">
        <f>IF(COUNTIF(AC13:AC15,AE4)=0,VLOOKUP(AE3,A:D,4,0),VLOOKUP(AE4,A:D,4,0))</f>
        <v>#N/A</v>
      </c>
      <c r="AI3" s="131" t="str">
        <f>IFERROR(IF(COUNTIF(AK2:AK15,AF7),"",AF7),"")</f>
        <v>体型</v>
      </c>
      <c r="AJ3" s="131" t="str" cm="1">
        <f t="array" ref="AJ3">INDEX(AI:AI,SMALL(IF(AI2:AI17&lt;&gt;"",ROW(2:17),17),ROW(AI2)))&amp;""</f>
        <v>体型</v>
      </c>
      <c r="AK3" s="138">
        <f>IF(主要!BT4="",0,主要!BT4)</f>
        <v>0</v>
      </c>
      <c r="AL3" s="132" t="str">
        <f>IFERROR(VLOOKUP(AK3,AF6:AG21,2,0),"")</f>
        <v/>
      </c>
      <c r="AM3" s="155" t="str">
        <f>IF(AK3=0,"",COUNTIF(AK2:AK15,AK3))</f>
        <v/>
      </c>
      <c r="AN3" s="132"/>
      <c r="AP3" s="131"/>
    </row>
    <row r="4" spans="1:42" ht="14.4" customHeight="1" x14ac:dyDescent="0.25">
      <c r="A4" s="137" t="s">
        <v>2021</v>
      </c>
      <c r="B4" s="137">
        <v>3</v>
      </c>
      <c r="C4" s="137">
        <v>1</v>
      </c>
      <c r="D4" s="137">
        <v>4</v>
      </c>
      <c r="E4" s="138" t="s">
        <v>2021</v>
      </c>
      <c r="F4" s="132" t="s">
        <v>2016</v>
      </c>
      <c r="G4" s="132" t="s">
        <v>2022</v>
      </c>
      <c r="H4" s="132" t="s">
        <v>2018</v>
      </c>
      <c r="J4" s="138" t="s">
        <v>2021</v>
      </c>
      <c r="K4" s="132"/>
      <c r="L4" s="132"/>
      <c r="M4" s="132"/>
      <c r="N4" s="132"/>
      <c r="O4" s="132"/>
      <c r="P4" s="132"/>
      <c r="T4" s="131" t="str">
        <f t="shared" ref="T4:Z4" si="2">""</f>
        <v/>
      </c>
      <c r="U4" s="131" t="str">
        <f t="shared" si="2"/>
        <v/>
      </c>
      <c r="V4" s="131" t="str">
        <f t="shared" si="2"/>
        <v/>
      </c>
      <c r="W4" s="131" t="str">
        <f t="shared" si="2"/>
        <v/>
      </c>
      <c r="X4" s="131" t="str">
        <f t="shared" si="2"/>
        <v/>
      </c>
      <c r="Y4" s="131" t="str">
        <f t="shared" si="2"/>
        <v/>
      </c>
      <c r="Z4" s="148" t="str">
        <f t="shared" si="2"/>
        <v/>
      </c>
      <c r="AA4" s="131" t="s">
        <v>100</v>
      </c>
      <c r="AB4" s="149" t="str">
        <f t="array" ref="AB4">INDEX(J:J,SMALL(IF(J2:J51&lt;&gt;"",ROW(2:51),52),ROW(J3)))&amp;""</f>
        <v>矮人</v>
      </c>
      <c r="AC4" s="131" t="e">
        <f>INDEX(K2:T51,AC2,2)&amp;""</f>
        <v>#N/A</v>
      </c>
      <c r="AD4" s="131" t="e">
        <f t="array" ref="AD4">INDEX(AC:AC,SMALL(IF(AC3:AC15&lt;&gt;"",ROW(3:15),16),ROW(AC3)))&amp;""</f>
        <v>#N/A</v>
      </c>
      <c r="AE4" s="150">
        <f>IF(主要!T7="",0,主要!T7)</f>
        <v>0</v>
      </c>
      <c r="AF4" s="131" t="e">
        <f>AF3-1</f>
        <v>#N/A</v>
      </c>
      <c r="AG4" s="131" t="e">
        <f>IF(COUNTIF(AC13:AC15,AE4)=0,VLOOKUP(AE4,A:C,3,0),0/0)</f>
        <v>#N/A</v>
      </c>
      <c r="AH4" s="148" t="e">
        <f>VLOOKUP(AE4,A:D,4,0)</f>
        <v>#N/A</v>
      </c>
      <c r="AI4" s="131" t="str">
        <f>IFERROR(IF(COUNTIF(AK2:AK15,AF8),"",AF8),"")</f>
        <v>速度</v>
      </c>
      <c r="AJ4" s="131" t="str" cm="1">
        <f t="array" ref="AJ4">INDEX(AI:AI,SMALL(IF(AI2:AI17&lt;&gt;"",ROW(2:17),17),ROW(AI3)))&amp;""</f>
        <v>速度</v>
      </c>
      <c r="AK4" s="138">
        <f>IF(主要!BT5="",0,主要!BT5)</f>
        <v>0</v>
      </c>
      <c r="AL4" s="132" t="str">
        <f>IFERROR(VLOOKUP(AK4,AF6:AG21,2,0),"")</f>
        <v/>
      </c>
      <c r="AM4" s="155" t="str">
        <f>IF(AK4=0,"",COUNTIF(AK2:AK15,AK4))</f>
        <v/>
      </c>
      <c r="AN4" s="132"/>
      <c r="AP4" s="131"/>
    </row>
    <row r="5" spans="1:42" ht="14.4" customHeight="1" x14ac:dyDescent="0.25">
      <c r="A5" s="137" t="s">
        <v>2023</v>
      </c>
      <c r="B5" s="137">
        <v>4</v>
      </c>
      <c r="C5" s="137">
        <v>1</v>
      </c>
      <c r="D5" s="137">
        <v>5</v>
      </c>
      <c r="E5" s="138" t="s">
        <v>2023</v>
      </c>
      <c r="F5" s="132" t="s">
        <v>2016</v>
      </c>
      <c r="G5" s="132" t="s">
        <v>2024</v>
      </c>
      <c r="H5" s="132" t="s">
        <v>2018</v>
      </c>
      <c r="J5" s="138" t="s">
        <v>2023</v>
      </c>
      <c r="K5" s="132" t="s">
        <v>2025</v>
      </c>
      <c r="L5" s="132" t="s">
        <v>2026</v>
      </c>
      <c r="M5" s="132" t="s">
        <v>2027</v>
      </c>
      <c r="N5" s="132"/>
      <c r="O5" s="132"/>
      <c r="P5" s="132"/>
      <c r="Q5" s="132"/>
      <c r="R5" s="132"/>
      <c r="S5" s="132"/>
      <c r="T5" s="132" t="str">
        <f t="shared" ref="T5:Z5" si="3">""</f>
        <v/>
      </c>
      <c r="U5" s="132" t="str">
        <f t="shared" si="3"/>
        <v/>
      </c>
      <c r="V5" s="132" t="str">
        <f t="shared" si="3"/>
        <v/>
      </c>
      <c r="W5" s="132" t="str">
        <f t="shared" si="3"/>
        <v/>
      </c>
      <c r="X5" s="132" t="str">
        <f t="shared" si="3"/>
        <v/>
      </c>
      <c r="Y5" s="132" t="str">
        <f t="shared" si="3"/>
        <v/>
      </c>
      <c r="Z5" s="148" t="str">
        <f t="shared" si="3"/>
        <v/>
      </c>
      <c r="AA5" s="131" t="s">
        <v>356</v>
      </c>
      <c r="AB5" s="149" t="str" cm="1">
        <f t="array" ref="AB5">INDEX(J:J,SMALL(IF(J2:J51&lt;&gt;"",ROW(2:51),52),ROW(J4)))&amp;""</f>
        <v>精灵</v>
      </c>
      <c r="AC5" s="131" t="e">
        <f>INDEX(K2:T51,AC2,3)&amp;""</f>
        <v>#N/A</v>
      </c>
      <c r="AD5" s="131" t="e">
        <f t="array" ref="AD5">INDEX(AC:AC,SMALL(IF(AC3:AC15&lt;&gt;"",ROW(3:15),16),ROW(AC4)))&amp;""</f>
        <v>#N/A</v>
      </c>
      <c r="AE5" s="151" t="s">
        <v>2028</v>
      </c>
      <c r="AF5" s="131" t="s">
        <v>38</v>
      </c>
      <c r="AG5" s="131" t="s">
        <v>39</v>
      </c>
      <c r="AH5" s="148" t="s">
        <v>763</v>
      </c>
      <c r="AI5" s="131" t="str">
        <f>IFERROR(IF(COUNTIF(AK2:AK15,AF9),"",AF9),"")</f>
        <v/>
      </c>
      <c r="AJ5" s="131" t="str" cm="1">
        <f t="array" ref="AJ5">INDEX(AI:AI,SMALL(IF(AI2:AI17&lt;&gt;"",ROW(2:17),17),ROW(AI4)))&amp;""</f>
        <v/>
      </c>
      <c r="AK5" s="138">
        <f>IF(主要!BT6="",0,主要!BT6)</f>
        <v>0</v>
      </c>
      <c r="AL5" s="132" t="str">
        <f>IFERROR(VLOOKUP(AK5,AF6:AG21,2,0),"")</f>
        <v/>
      </c>
      <c r="AM5" s="155" t="str">
        <f>IF(AK5=0,"",COUNTIF(AK2:AK15,AK5))</f>
        <v/>
      </c>
      <c r="AN5" s="132"/>
      <c r="AP5" s="131"/>
    </row>
    <row r="6" spans="1:42" ht="14.4" customHeight="1" x14ac:dyDescent="0.25">
      <c r="A6" s="132" t="s">
        <v>2025</v>
      </c>
      <c r="B6" s="132"/>
      <c r="C6" s="132">
        <v>6</v>
      </c>
      <c r="D6" s="132">
        <v>6</v>
      </c>
      <c r="E6" s="138" t="s">
        <v>2029</v>
      </c>
      <c r="F6" s="132" t="s">
        <v>2016</v>
      </c>
      <c r="G6" s="132" t="s">
        <v>2030</v>
      </c>
      <c r="H6" s="132" t="s">
        <v>2018</v>
      </c>
      <c r="J6" s="138" t="s">
        <v>2029</v>
      </c>
      <c r="K6" s="132" t="s">
        <v>2031</v>
      </c>
      <c r="L6" s="132" t="s">
        <v>2032</v>
      </c>
      <c r="M6" s="132"/>
      <c r="N6" s="132"/>
      <c r="O6" s="132"/>
      <c r="T6" s="131" t="str">
        <f t="shared" ref="T6:Z6" si="4">""</f>
        <v/>
      </c>
      <c r="U6" s="131" t="str">
        <f t="shared" si="4"/>
        <v/>
      </c>
      <c r="V6" s="131" t="str">
        <f t="shared" si="4"/>
        <v/>
      </c>
      <c r="W6" s="131" t="str">
        <f t="shared" si="4"/>
        <v/>
      </c>
      <c r="X6" s="131" t="str">
        <f t="shared" si="4"/>
        <v/>
      </c>
      <c r="Y6" s="131" t="str">
        <f t="shared" si="4"/>
        <v/>
      </c>
      <c r="Z6" s="148" t="str">
        <f t="shared" si="4"/>
        <v/>
      </c>
      <c r="AA6" s="131" t="s">
        <v>364</v>
      </c>
      <c r="AB6" s="149" t="str">
        <f t="array" ref="AB6">INDEX(J:J,SMALL(IF(J2:J51&lt;&gt;"",ROW(2:51),52),ROW(J5)))&amp;""</f>
        <v>侏儒</v>
      </c>
      <c r="AC6" s="131" t="e">
        <f>INDEX(K2:T51,AC2,4)&amp;""</f>
        <v>#N/A</v>
      </c>
      <c r="AD6" s="131" t="e" cm="1">
        <f t="array" ref="AD6">INDEX(AC:AC,SMALL(IF(AC3:AC15&lt;&gt;"",ROW(3:15),16),ROW(AC5)))&amp;""</f>
        <v>#N/A</v>
      </c>
      <c r="AE6" s="151"/>
      <c r="AF6" s="127" t="s">
        <v>2011</v>
      </c>
      <c r="AG6" s="131" t="e">
        <f>IF(AC18=0,"",VLOOKUP(AE3,E:F,2,0))</f>
        <v>#N/A</v>
      </c>
      <c r="AH6" s="148"/>
      <c r="AI6" s="131" t="str">
        <f>IFERROR(IF(COUNTIF(AK2:AK15,AF10),"",AF10),"")</f>
        <v/>
      </c>
      <c r="AJ6" s="131" t="str" cm="1">
        <f t="array" ref="AJ6">INDEX(AI:AI,SMALL(IF(AI2:AI17&lt;&gt;"",ROW(2:17),17),ROW(AI5)))&amp;""</f>
        <v/>
      </c>
      <c r="AK6" s="138">
        <f>IF(主要!BT7="",0,主要!BT7)</f>
        <v>0</v>
      </c>
      <c r="AL6" s="132" t="str">
        <f>IFERROR(VLOOKUP(AK6,AF6:AG21,2,0),"")</f>
        <v/>
      </c>
      <c r="AM6" s="155" t="str">
        <f>IF(AK6=0,"",COUNTIF(AK2:AK15,AK6))</f>
        <v/>
      </c>
      <c r="AN6" s="132"/>
      <c r="AP6" s="131"/>
    </row>
    <row r="7" spans="1:42" ht="14.4" customHeight="1" x14ac:dyDescent="0.25">
      <c r="A7" s="132" t="s">
        <v>2026</v>
      </c>
      <c r="B7" s="132"/>
      <c r="C7" s="132">
        <v>7</v>
      </c>
      <c r="D7" s="132">
        <v>7</v>
      </c>
      <c r="E7" s="138" t="s">
        <v>2033</v>
      </c>
      <c r="F7" s="132" t="s">
        <v>2016</v>
      </c>
      <c r="G7" s="132" t="s">
        <v>2034</v>
      </c>
      <c r="H7" s="132" t="s">
        <v>2035</v>
      </c>
      <c r="J7" s="138" t="s">
        <v>2033</v>
      </c>
      <c r="K7" s="132" t="s">
        <v>2036</v>
      </c>
      <c r="L7" s="132" t="s">
        <v>2037</v>
      </c>
      <c r="M7" s="132" t="s">
        <v>2038</v>
      </c>
      <c r="N7" s="132" t="s">
        <v>2039</v>
      </c>
      <c r="O7" s="127" t="s">
        <v>2040</v>
      </c>
      <c r="P7" s="127" t="s">
        <v>2041</v>
      </c>
      <c r="T7" s="131" t="str">
        <f t="shared" ref="T7:Z7" si="5">""</f>
        <v/>
      </c>
      <c r="U7" s="131" t="str">
        <f t="shared" si="5"/>
        <v/>
      </c>
      <c r="V7" s="131" t="str">
        <f t="shared" si="5"/>
        <v/>
      </c>
      <c r="W7" s="131" t="str">
        <f t="shared" si="5"/>
        <v/>
      </c>
      <c r="X7" s="131" t="str">
        <f t="shared" si="5"/>
        <v/>
      </c>
      <c r="Y7" s="131" t="str">
        <f t="shared" si="5"/>
        <v/>
      </c>
      <c r="Z7" s="148" t="str">
        <f t="shared" si="5"/>
        <v/>
      </c>
      <c r="AA7" s="142" t="s">
        <v>371</v>
      </c>
      <c r="AB7" s="149" t="str" cm="1">
        <f t="array" ref="AB7">INDEX(J:J,SMALL(IF(J2:J51&lt;&gt;"",ROW(2:51),52),ROW(J6)))&amp;""</f>
        <v>歌利亚</v>
      </c>
      <c r="AC7" s="131" t="e">
        <f>INDEX(K2:T51,AC2,5)&amp;""</f>
        <v>#N/A</v>
      </c>
      <c r="AD7" s="131" t="e" cm="1">
        <f t="array" ref="AD7">INDEX(AC:AC,SMALL(IF(AC3:AC15&lt;&gt;"",ROW(3:15),16),ROW(AC6)))&amp;""</f>
        <v>#N/A</v>
      </c>
      <c r="AE7" s="151"/>
      <c r="AF7" s="131" t="s">
        <v>99</v>
      </c>
      <c r="AG7" s="131" t="e">
        <f>IF(AC18=0,"",VLOOKUP(AE3,E:H,3,0))</f>
        <v>#N/A</v>
      </c>
      <c r="AH7" s="148"/>
      <c r="AI7" s="131" t="str">
        <f>IFERROR(IF(OR(AF11="",COUNTIF(AK2:AK15,AF11)),"",AF11),"")</f>
        <v/>
      </c>
      <c r="AJ7" s="131" t="str" cm="1">
        <f t="array" ref="AJ7">INDEX(AI:AI,SMALL(IF(AI2:AI17&lt;&gt;"",ROW(2:17),17),ROW(AI6)))&amp;""</f>
        <v/>
      </c>
      <c r="AK7" s="138">
        <f>IF(主要!BT8="",0,主要!BT8)</f>
        <v>0</v>
      </c>
      <c r="AL7" s="132" t="str">
        <f>IFERROR(VLOOKUP(AK7,AF6:AG21,2,0),"")</f>
        <v/>
      </c>
      <c r="AM7" s="155" t="str">
        <f>IF(AK7=0,"",COUNTIF(AK2:AK15,AK7))</f>
        <v/>
      </c>
      <c r="AN7" s="132"/>
      <c r="AP7" s="131"/>
    </row>
    <row r="8" spans="1:42" ht="14.4" customHeight="1" x14ac:dyDescent="0.25">
      <c r="A8" s="132" t="s">
        <v>2027</v>
      </c>
      <c r="B8" s="132"/>
      <c r="C8" s="132">
        <v>8</v>
      </c>
      <c r="D8" s="132">
        <v>8</v>
      </c>
      <c r="E8" s="138" t="s">
        <v>2042</v>
      </c>
      <c r="F8" s="132" t="s">
        <v>2016</v>
      </c>
      <c r="G8" s="132" t="s">
        <v>2043</v>
      </c>
      <c r="H8" s="132" t="s">
        <v>2018</v>
      </c>
      <c r="J8" s="138" t="s">
        <v>2042</v>
      </c>
      <c r="K8" s="132"/>
      <c r="L8" s="132"/>
      <c r="M8" s="132"/>
      <c r="N8" s="132"/>
      <c r="O8" s="132"/>
      <c r="P8" s="132"/>
      <c r="Q8" s="132"/>
      <c r="T8" s="131" t="str">
        <f t="shared" ref="T8:Z8" si="6">""</f>
        <v/>
      </c>
      <c r="U8" s="131" t="str">
        <f t="shared" si="6"/>
        <v/>
      </c>
      <c r="V8" s="131" t="str">
        <f t="shared" si="6"/>
        <v/>
      </c>
      <c r="W8" s="131" t="str">
        <f t="shared" si="6"/>
        <v/>
      </c>
      <c r="X8" s="131" t="str">
        <f t="shared" si="6"/>
        <v/>
      </c>
      <c r="Y8" s="131" t="str">
        <f t="shared" si="6"/>
        <v/>
      </c>
      <c r="Z8" s="148" t="str">
        <f t="shared" si="6"/>
        <v/>
      </c>
      <c r="AB8" s="149" t="str">
        <f t="array" ref="AB8">INDEX(J:J,SMALL(IF(J2:J51&lt;&gt;"",ROW(2:51),52),ROW(J7)))&amp;""</f>
        <v>半身人</v>
      </c>
      <c r="AC8" s="131" t="e">
        <f>INDEX(K2:T51,AC2,6)&amp;""</f>
        <v>#N/A</v>
      </c>
      <c r="AD8" s="131" t="e" cm="1">
        <f t="array" ref="AD8">INDEX(AC:AC,SMALL(IF(AC3:AC15&lt;&gt;"",ROW(3:15),16),ROW(AC7)))&amp;""</f>
        <v>#N/A</v>
      </c>
      <c r="AE8" s="151"/>
      <c r="AF8" s="131" t="s">
        <v>101</v>
      </c>
      <c r="AG8" s="131" t="e">
        <f>IF(AC18=0,"",VLOOKUP(AE3,E:H,4,0))</f>
        <v>#N/A</v>
      </c>
      <c r="AH8" s="148"/>
      <c r="AI8" s="131" t="str">
        <f>IFERROR(IF(OR(AF12="",COUNTIF(AK2:AK15,AF12)),"",AF12),"")</f>
        <v/>
      </c>
      <c r="AJ8" s="131" t="str" cm="1">
        <f t="array" ref="AJ8">INDEX(AI:AI,SMALL(IF(AI2:AI17&lt;&gt;"",ROW(2:17),17),ROW(AI7)))&amp;""</f>
        <v/>
      </c>
      <c r="AK8" s="138">
        <f>IF(主要!BT9="",0,主要!BT9)</f>
        <v>0</v>
      </c>
      <c r="AL8" s="132" t="str">
        <f>IFERROR(VLOOKUP(AK8,AF6:AG21,2,0),"")</f>
        <v/>
      </c>
      <c r="AM8" s="155" t="str">
        <f>IF(AK8=0,"",COUNTIF(AK2:AK15,AK8))</f>
        <v/>
      </c>
      <c r="AN8" s="132"/>
    </row>
    <row r="9" spans="1:42" ht="14.4" customHeight="1" x14ac:dyDescent="0.25">
      <c r="A9" s="137" t="s">
        <v>2029</v>
      </c>
      <c r="B9" s="137">
        <v>5</v>
      </c>
      <c r="C9" s="137">
        <v>1</v>
      </c>
      <c r="D9" s="137">
        <v>3</v>
      </c>
      <c r="E9" s="138" t="s">
        <v>2044</v>
      </c>
      <c r="F9" s="132" t="s">
        <v>2016</v>
      </c>
      <c r="G9" s="132" t="s">
        <v>2045</v>
      </c>
      <c r="H9" s="132" t="s">
        <v>2018</v>
      </c>
      <c r="J9" s="138" t="s">
        <v>2044</v>
      </c>
      <c r="K9" s="132"/>
      <c r="L9" s="132"/>
      <c r="M9" s="132"/>
      <c r="N9" s="132"/>
      <c r="O9" s="132"/>
      <c r="P9" s="132"/>
      <c r="Q9" s="132"/>
      <c r="R9" s="132"/>
      <c r="S9" s="132"/>
      <c r="T9" s="132" t="str">
        <f t="shared" ref="T9:Z9" si="7">""</f>
        <v/>
      </c>
      <c r="U9" s="132" t="str">
        <f t="shared" si="7"/>
        <v/>
      </c>
      <c r="V9" s="132" t="str">
        <f t="shared" si="7"/>
        <v/>
      </c>
      <c r="W9" s="132" t="str">
        <f t="shared" si="7"/>
        <v/>
      </c>
      <c r="X9" s="132" t="str">
        <f t="shared" si="7"/>
        <v/>
      </c>
      <c r="Y9" s="132" t="str">
        <f t="shared" si="7"/>
        <v/>
      </c>
      <c r="Z9" s="148" t="str">
        <f t="shared" si="7"/>
        <v/>
      </c>
      <c r="AB9" s="149" t="str">
        <f t="array" ref="AB9">INDEX(J:J,SMALL(IF(J2:J51&lt;&gt;"",ROW(2:51),52),ROW(J8)))&amp;""</f>
        <v>人类</v>
      </c>
      <c r="AC9" s="131" t="e">
        <f>INDEX(K2:T51,AC2,7)&amp;""</f>
        <v>#N/A</v>
      </c>
      <c r="AD9" s="131" t="e" cm="1">
        <f t="array" ref="AD9">INDEX(AC:AC,SMALL(IF(AC3:AC15&lt;&gt;"",ROW(3:15),16),ROW(AC8)))&amp;""</f>
        <v>#N/A</v>
      </c>
      <c r="AE9" s="151" t="e">
        <f>IF(AE8+1&gt;$AH$3,IF($AG$4+AH8&gt;$AH$4,"",$AG$4+AH8),AE8+1)</f>
        <v>#N/A</v>
      </c>
      <c r="AF9" s="131" t="e">
        <f>INDEX($K$54:$AU$159,$AF$4,AE9)</f>
        <v>#N/A</v>
      </c>
      <c r="AG9" s="131" t="e">
        <f t="shared" ref="AG9:AG15" si="8">INDEX($K$54:$AU$159,$AF$3,AE9)</f>
        <v>#N/A</v>
      </c>
      <c r="AH9" s="148" t="e">
        <f>IF(AE8+1&gt;$AH$3,AH8+1,0)</f>
        <v>#N/A</v>
      </c>
      <c r="AI9" s="131" t="str">
        <f>IFERROR(IF(OR(AF13="",COUNTIF(AK2:AK15,AF13)),"",AF13),"")</f>
        <v/>
      </c>
      <c r="AJ9" s="131" t="str" cm="1">
        <f t="array" ref="AJ9">INDEX(AI:AI,SMALL(IF(AI2:AI17&lt;&gt;"",ROW(2:17),17),ROW(AI8)))&amp;""</f>
        <v/>
      </c>
      <c r="AK9" s="138">
        <f>IF(主要!BT10="",0,主要!BT10)</f>
        <v>0</v>
      </c>
      <c r="AL9" s="132" t="str">
        <f>IFERROR(VLOOKUP(AK9,AF6:AG21,2,0),"")</f>
        <v/>
      </c>
      <c r="AM9" s="155" t="str">
        <f>IF(AK9=0,"",COUNTIF(AK2:AK15,AK9))</f>
        <v/>
      </c>
      <c r="AN9" s="132"/>
    </row>
    <row r="10" spans="1:42" ht="14.4" customHeight="1" x14ac:dyDescent="0.25">
      <c r="A10" s="132" t="s">
        <v>2031</v>
      </c>
      <c r="B10" s="132"/>
      <c r="C10" s="132">
        <v>4</v>
      </c>
      <c r="D10" s="132">
        <v>4</v>
      </c>
      <c r="E10" s="138" t="s">
        <v>2046</v>
      </c>
      <c r="F10" s="132" t="s">
        <v>2016</v>
      </c>
      <c r="G10" s="132" t="s">
        <v>2047</v>
      </c>
      <c r="H10" s="132" t="s">
        <v>2018</v>
      </c>
      <c r="J10" s="138" t="s">
        <v>2046</v>
      </c>
      <c r="K10" s="132"/>
      <c r="L10" s="132"/>
      <c r="M10" s="132"/>
      <c r="N10" s="132"/>
      <c r="O10" s="132"/>
      <c r="P10" s="132"/>
      <c r="Q10" s="132"/>
      <c r="R10" s="132"/>
      <c r="S10" s="132"/>
      <c r="T10" s="131" t="str">
        <f t="shared" ref="T10:Z10" si="9">""</f>
        <v/>
      </c>
      <c r="U10" s="131" t="str">
        <f t="shared" si="9"/>
        <v/>
      </c>
      <c r="V10" s="131" t="str">
        <f t="shared" si="9"/>
        <v/>
      </c>
      <c r="W10" s="131" t="str">
        <f t="shared" si="9"/>
        <v/>
      </c>
      <c r="X10" s="131" t="str">
        <f t="shared" si="9"/>
        <v/>
      </c>
      <c r="Y10" s="131" t="str">
        <f t="shared" si="9"/>
        <v/>
      </c>
      <c r="Z10" s="148" t="str">
        <f t="shared" si="9"/>
        <v/>
      </c>
      <c r="AB10" s="149" t="str">
        <f t="array" ref="AB10">INDEX(J:J,SMALL(IF(J2:J51&lt;&gt;"",ROW(2:51),52),ROW(J9)))&amp;""</f>
        <v>兽人</v>
      </c>
      <c r="AC10" s="131" t="e">
        <f>INDEX(K2:T51,AC2,8)&amp;""</f>
        <v>#N/A</v>
      </c>
      <c r="AD10" s="131" t="e">
        <f t="array" ref="AD10">INDEX(AC:AC,SMALL(IF(AC3:AC15&lt;&gt;"",ROW(3:15),16),ROW(AC9)))&amp;""</f>
        <v>#N/A</v>
      </c>
      <c r="AE10" s="151" t="e">
        <f t="shared" ref="AE10:AE21" si="10">IF(AE9+1&gt;$AH$3,IF($AG$4+AH9&gt;$AH$4,"",$AG$4+AH9),AE9+1)</f>
        <v>#N/A</v>
      </c>
      <c r="AF10" s="131" t="e">
        <f t="shared" ref="AF10:AF21" si="11">INDEX($K$54:$AU$159,$AF$4,AE10)</f>
        <v>#N/A</v>
      </c>
      <c r="AG10" s="131" t="e">
        <f t="shared" si="8"/>
        <v>#N/A</v>
      </c>
      <c r="AH10" s="148" t="e">
        <f t="shared" ref="AH10:AH21" si="12">IF(AE9+1&gt;$AH$3,AH9+1,0)</f>
        <v>#N/A</v>
      </c>
      <c r="AI10" s="131" t="str">
        <f>IFERROR(IF(OR(AF14="",COUNTIF(AK2:AK15,AF14)),"",AF14),"")</f>
        <v/>
      </c>
      <c r="AJ10" s="131" t="str" cm="1">
        <f t="array" ref="AJ10">INDEX(AI:AI,SMALL(IF(AI2:AI17&lt;&gt;"",ROW(2:17),17),ROW(AI9)))&amp;""</f>
        <v/>
      </c>
      <c r="AK10" s="138">
        <f>IF(主要!BT11="",0,主要!BT11)</f>
        <v>0</v>
      </c>
      <c r="AL10" s="132" t="str">
        <f>IFERROR(VLOOKUP(AK10,AF6:AG21,2,0),"")</f>
        <v/>
      </c>
      <c r="AM10" s="155" t="str">
        <f>IF(AK10=0,"",COUNTIF(AK2:AK15,AK10))</f>
        <v/>
      </c>
      <c r="AN10" s="132"/>
    </row>
    <row r="11" spans="1:42" ht="14.4" customHeight="1" x14ac:dyDescent="0.25">
      <c r="A11" s="132" t="s">
        <v>2032</v>
      </c>
      <c r="B11" s="132"/>
      <c r="C11" s="132">
        <v>5</v>
      </c>
      <c r="D11" s="132">
        <v>5</v>
      </c>
      <c r="E11" s="138" t="s">
        <v>2048</v>
      </c>
      <c r="F11" s="132" t="s">
        <v>2016</v>
      </c>
      <c r="G11" s="132" t="s">
        <v>2049</v>
      </c>
      <c r="H11" s="132" t="s">
        <v>2018</v>
      </c>
      <c r="J11" s="138" t="s">
        <v>2048</v>
      </c>
      <c r="K11" s="127" t="s">
        <v>2050</v>
      </c>
      <c r="L11" s="127" t="s">
        <v>2051</v>
      </c>
      <c r="M11" s="127" t="s">
        <v>2052</v>
      </c>
      <c r="T11" s="131" t="str">
        <f t="shared" ref="T11:Z11" si="13">""</f>
        <v/>
      </c>
      <c r="U11" s="131" t="str">
        <f t="shared" si="13"/>
        <v/>
      </c>
      <c r="V11" s="131" t="str">
        <f t="shared" si="13"/>
        <v/>
      </c>
      <c r="W11" s="131" t="str">
        <f t="shared" si="13"/>
        <v/>
      </c>
      <c r="X11" s="131" t="str">
        <f t="shared" si="13"/>
        <v/>
      </c>
      <c r="Y11" s="131" t="str">
        <f t="shared" si="13"/>
        <v/>
      </c>
      <c r="Z11" s="148" t="str">
        <f t="shared" si="13"/>
        <v/>
      </c>
      <c r="AB11" s="149" t="str">
        <f t="array" ref="AB11">INDEX(J:J,SMALL(IF(J2:J51&lt;&gt;"",ROW(2:51),52),ROW(J10)))&amp;""</f>
        <v>提夫林</v>
      </c>
      <c r="AC11" s="131" t="e">
        <f>INDEX(K2:T51,AC2,9)&amp;""</f>
        <v>#N/A</v>
      </c>
      <c r="AD11" s="131" t="e">
        <f t="array" ref="AD11">INDEX(AC:AC,SMALL(IF(AC3:AC15&lt;&gt;"",ROW(3:15),16),ROW(AC10)))&amp;""</f>
        <v>#N/A</v>
      </c>
      <c r="AE11" s="151" t="e">
        <f t="shared" si="10"/>
        <v>#N/A</v>
      </c>
      <c r="AF11" s="131" t="e">
        <f t="shared" si="11"/>
        <v>#N/A</v>
      </c>
      <c r="AG11" s="131" t="e">
        <f t="shared" si="8"/>
        <v>#N/A</v>
      </c>
      <c r="AH11" s="148" t="e">
        <f t="shared" si="12"/>
        <v>#N/A</v>
      </c>
      <c r="AI11" s="131" t="str">
        <f>IFERROR(IF(OR(AF15="",COUNTIF(AK2:AK15,AF15)),"",AF15),"")</f>
        <v/>
      </c>
      <c r="AJ11" s="131" t="str" cm="1">
        <f t="array" ref="AJ11">INDEX(AI:AI,SMALL(IF(AI2:AI17&lt;&gt;"",ROW(2:17),17),ROW(AI10)))&amp;""</f>
        <v/>
      </c>
      <c r="AK11" s="138">
        <f>IF(主要!BT12="",0,主要!BT12)</f>
        <v>0</v>
      </c>
      <c r="AL11" s="132" t="str">
        <f>IFERROR(VLOOKUP(AK11,AF6:AG21,2,0),"")</f>
        <v/>
      </c>
      <c r="AM11" s="155" t="str">
        <f>IF(AK11=0,"",COUNTIF(AK2:AK15,AK11))</f>
        <v/>
      </c>
      <c r="AN11" s="132"/>
    </row>
    <row r="12" spans="1:42" ht="14.4" customHeight="1" x14ac:dyDescent="0.25">
      <c r="A12" s="137" t="s">
        <v>2033</v>
      </c>
      <c r="B12" s="137">
        <v>6</v>
      </c>
      <c r="C12" s="137">
        <v>1</v>
      </c>
      <c r="D12" s="137">
        <v>3</v>
      </c>
      <c r="J12" s="138"/>
      <c r="T12" s="131" t="str">
        <f t="shared" ref="T12:Z12" si="14">""</f>
        <v/>
      </c>
      <c r="U12" s="131" t="str">
        <f t="shared" si="14"/>
        <v/>
      </c>
      <c r="V12" s="131" t="str">
        <f t="shared" si="14"/>
        <v/>
      </c>
      <c r="W12" s="131" t="str">
        <f t="shared" si="14"/>
        <v/>
      </c>
      <c r="X12" s="131" t="str">
        <f t="shared" si="14"/>
        <v/>
      </c>
      <c r="Y12" s="131" t="str">
        <f t="shared" si="14"/>
        <v/>
      </c>
      <c r="Z12" s="148" t="str">
        <f t="shared" si="14"/>
        <v/>
      </c>
      <c r="AB12" s="149" t="str">
        <f t="array" ref="AB12">INDEX(J:J,SMALL(IF(J2:J51&lt;&gt;"",ROW(2:51),52),ROW(J11)))&amp;""</f>
        <v/>
      </c>
      <c r="AC12" s="131" t="e">
        <f>INDEX(K2:T51,AC2,10)&amp;""</f>
        <v>#N/A</v>
      </c>
      <c r="AD12" s="131" t="e">
        <f t="array" ref="AD12">INDEX(AC:AC,SMALL(IF(AC3:AC15&lt;&gt;"",ROW(3:15),16),ROW(AC11)))&amp;""</f>
        <v>#N/A</v>
      </c>
      <c r="AE12" s="151" t="e">
        <f t="shared" si="10"/>
        <v>#N/A</v>
      </c>
      <c r="AF12" s="131" t="e">
        <f t="shared" si="11"/>
        <v>#N/A</v>
      </c>
      <c r="AG12" s="131" t="e">
        <f t="shared" si="8"/>
        <v>#N/A</v>
      </c>
      <c r="AH12" s="148" t="e">
        <f t="shared" si="12"/>
        <v>#N/A</v>
      </c>
      <c r="AI12" s="131" t="str">
        <f>IFERROR(IF(OR(AF16="",COUNTIF(AK2:AK15,AF16)),"",AF16),"")</f>
        <v/>
      </c>
      <c r="AJ12" s="131" t="str" cm="1">
        <f t="array" ref="AJ12">INDEX(AI:AI,SMALL(IF(AI2:AI17&lt;&gt;"",ROW(2:17),17),ROW(AI11)))&amp;""</f>
        <v/>
      </c>
      <c r="AK12" s="138">
        <f>IF(主要!BT13="",0,主要!BT13)</f>
        <v>0</v>
      </c>
      <c r="AL12" s="132" t="str">
        <f>IFERROR(VLOOKUP(AK12,AF6:AG21,2,0),"")</f>
        <v/>
      </c>
      <c r="AM12" s="155" t="str">
        <f>IF(AK12=0,"",COUNTIF(AK2:AK15,AK12))</f>
        <v/>
      </c>
      <c r="AN12" s="132"/>
    </row>
    <row r="13" spans="1:42" ht="14.4" customHeight="1" x14ac:dyDescent="0.25">
      <c r="A13" s="132" t="s">
        <v>2036</v>
      </c>
      <c r="B13" s="132"/>
      <c r="C13" s="132">
        <v>4</v>
      </c>
      <c r="D13" s="132">
        <v>4</v>
      </c>
      <c r="J13" s="138"/>
      <c r="T13" s="131" t="str">
        <f t="shared" ref="T13:Z13" si="15">""</f>
        <v/>
      </c>
      <c r="U13" s="131" t="str">
        <f t="shared" si="15"/>
        <v/>
      </c>
      <c r="V13" s="131" t="str">
        <f t="shared" si="15"/>
        <v/>
      </c>
      <c r="W13" s="131" t="str">
        <f t="shared" si="15"/>
        <v/>
      </c>
      <c r="X13" s="131" t="str">
        <f t="shared" si="15"/>
        <v/>
      </c>
      <c r="Y13" s="131" t="str">
        <f t="shared" si="15"/>
        <v/>
      </c>
      <c r="Z13" s="148" t="str">
        <f t="shared" si="15"/>
        <v/>
      </c>
      <c r="AB13" s="149" t="str">
        <f t="array" ref="AB13">INDEX(J:J,SMALL(IF(J2:J51&lt;&gt;"",ROW(2:51),52),ROW(J12)))&amp;""</f>
        <v/>
      </c>
      <c r="AC13" s="127"/>
      <c r="AD13" s="131" t="e">
        <f t="array" ref="AD13">INDEX(AC:AC,SMALL(IF(AC3:AC15&lt;&gt;"",ROW(3:15),16),ROW(AC12)))&amp;""</f>
        <v>#N/A</v>
      </c>
      <c r="AE13" s="151" t="e">
        <f t="shared" si="10"/>
        <v>#N/A</v>
      </c>
      <c r="AF13" s="131" t="e">
        <f t="shared" si="11"/>
        <v>#N/A</v>
      </c>
      <c r="AG13" s="131" t="e">
        <f t="shared" si="8"/>
        <v>#N/A</v>
      </c>
      <c r="AH13" s="148" t="e">
        <f t="shared" si="12"/>
        <v>#N/A</v>
      </c>
      <c r="AI13" s="131" t="str">
        <f>IFERROR(IF(OR(AF17="",COUNTIF(AK2:AK15,AF17)),"",AF17),"")</f>
        <v/>
      </c>
      <c r="AJ13" s="131" t="str" cm="1">
        <f t="array" ref="AJ13">INDEX(AI:AI,SMALL(IF(AI2:AI17&lt;&gt;"",ROW(2:17),17),ROW(AI12)))&amp;""</f>
        <v/>
      </c>
      <c r="AK13" s="138">
        <f>IF(主要!BT14="",0,主要!BT14)</f>
        <v>0</v>
      </c>
      <c r="AL13" s="132" t="str">
        <f>IFERROR(VLOOKUP(AK13,AF6:AG21,2,0),"")</f>
        <v/>
      </c>
      <c r="AM13" s="155" t="str">
        <f>IF(AK13=0,"",COUNTIF(AK2:AK15,AK13))</f>
        <v/>
      </c>
      <c r="AN13" s="132"/>
    </row>
    <row r="14" spans="1:42" ht="14.4" customHeight="1" x14ac:dyDescent="0.25">
      <c r="A14" s="132" t="s">
        <v>2037</v>
      </c>
      <c r="B14" s="127"/>
      <c r="C14" s="127">
        <v>5</v>
      </c>
      <c r="D14" s="127">
        <v>5</v>
      </c>
      <c r="J14" s="138"/>
      <c r="T14" s="131" t="str">
        <f t="shared" ref="T14:Z14" si="16">""</f>
        <v/>
      </c>
      <c r="U14" s="131" t="str">
        <f t="shared" si="16"/>
        <v/>
      </c>
      <c r="V14" s="131" t="str">
        <f t="shared" si="16"/>
        <v/>
      </c>
      <c r="W14" s="131" t="str">
        <f t="shared" si="16"/>
        <v/>
      </c>
      <c r="X14" s="131" t="str">
        <f t="shared" si="16"/>
        <v/>
      </c>
      <c r="Y14" s="131" t="str">
        <f t="shared" si="16"/>
        <v/>
      </c>
      <c r="Z14" s="148" t="str">
        <f t="shared" si="16"/>
        <v/>
      </c>
      <c r="AB14" s="149" t="str">
        <f t="array" ref="AB14">INDEX(J:J,SMALL(IF(J2:J51&lt;&gt;"",ROW(2:51),52),ROW(J13)))&amp;""</f>
        <v/>
      </c>
      <c r="AC14" s="127"/>
      <c r="AD14" s="131" t="e">
        <f t="array" ref="AD14">INDEX(AC:AC,SMALL(IF(AC3:AC15&lt;&gt;"",ROW(3:15),16),ROW(AC13)))&amp;""</f>
        <v>#N/A</v>
      </c>
      <c r="AE14" s="151" t="e">
        <f t="shared" si="10"/>
        <v>#N/A</v>
      </c>
      <c r="AF14" s="131" t="e">
        <f t="shared" si="11"/>
        <v>#N/A</v>
      </c>
      <c r="AG14" s="131" t="e">
        <f t="shared" si="8"/>
        <v>#N/A</v>
      </c>
      <c r="AH14" s="148" t="e">
        <f t="shared" si="12"/>
        <v>#N/A</v>
      </c>
      <c r="AI14" s="131" t="str">
        <f>IFERROR(IF(OR(AF18="",COUNTIF(AK2:AK15,AF18)),"",AF18),"")</f>
        <v/>
      </c>
      <c r="AJ14" s="131" t="str" cm="1">
        <f t="array" ref="AJ14">INDEX(AI:AI,SMALL(IF(AI2:AI17&lt;&gt;"",ROW(2:17),17),ROW(AI13)))&amp;""</f>
        <v/>
      </c>
      <c r="AK14" s="138">
        <f>IF(主要!BT15="",0,主要!BT15)</f>
        <v>0</v>
      </c>
      <c r="AL14" s="132" t="str">
        <f>IFERROR(VLOOKUP(AK14,AF6:AG21,2,0),"")</f>
        <v/>
      </c>
      <c r="AM14" s="155" t="str">
        <f>IF(AK14=0,"",COUNTIF(AK2:AK15,AK14))</f>
        <v/>
      </c>
      <c r="AN14" s="132"/>
    </row>
    <row r="15" spans="1:42" ht="14.4" customHeight="1" x14ac:dyDescent="0.25">
      <c r="A15" s="132" t="s">
        <v>2038</v>
      </c>
      <c r="B15" s="127"/>
      <c r="C15" s="127">
        <v>6</v>
      </c>
      <c r="D15" s="127">
        <v>6</v>
      </c>
      <c r="J15" s="138"/>
      <c r="T15" s="131" t="str">
        <f t="shared" ref="T15:Z15" si="17">""</f>
        <v/>
      </c>
      <c r="U15" s="131" t="str">
        <f t="shared" si="17"/>
        <v/>
      </c>
      <c r="V15" s="131" t="str">
        <f t="shared" si="17"/>
        <v/>
      </c>
      <c r="W15" s="131" t="str">
        <f t="shared" si="17"/>
        <v/>
      </c>
      <c r="X15" s="131" t="str">
        <f t="shared" si="17"/>
        <v/>
      </c>
      <c r="Y15" s="131" t="str">
        <f t="shared" si="17"/>
        <v/>
      </c>
      <c r="Z15" s="148" t="str">
        <f t="shared" si="17"/>
        <v/>
      </c>
      <c r="AB15" s="149" t="str">
        <f t="array" ref="AB15">INDEX(J:J,SMALL(IF(J2:J51&lt;&gt;"",ROW(2:51),52),ROW(J14)))&amp;""</f>
        <v/>
      </c>
      <c r="AC15" s="127"/>
      <c r="AE15" s="151" t="e">
        <f t="shared" si="10"/>
        <v>#N/A</v>
      </c>
      <c r="AF15" s="131" t="e">
        <f t="shared" si="11"/>
        <v>#N/A</v>
      </c>
      <c r="AG15" s="131" t="e">
        <f t="shared" si="8"/>
        <v>#N/A</v>
      </c>
      <c r="AH15" s="148" t="e">
        <f t="shared" si="12"/>
        <v>#N/A</v>
      </c>
      <c r="AI15" s="131" t="str">
        <f>IFERROR(IF(OR(AF19="",COUNTIF(AK2:AK15,AF19)),"",AF19),"")</f>
        <v/>
      </c>
      <c r="AJ15" s="131" t="str" cm="1">
        <f t="array" ref="AJ15">INDEX(AI:AI,SMALL(IF(AI2:AI17&lt;&gt;"",ROW(2:17),17),ROW(AI14)))&amp;""</f>
        <v/>
      </c>
      <c r="AK15" s="141"/>
      <c r="AL15" s="156" t="str">
        <f>IFERROR(VLOOKUP(AK15,AF6:AG21,2,0),"")</f>
        <v/>
      </c>
      <c r="AM15" s="157" t="str">
        <f>IF(AK15=0,"",COUNTIF(AK2:AK15,AK15))</f>
        <v/>
      </c>
      <c r="AN15" s="132"/>
    </row>
    <row r="16" spans="1:42" ht="14.4" customHeight="1" x14ac:dyDescent="0.25">
      <c r="A16" s="132" t="s">
        <v>2039</v>
      </c>
      <c r="B16" s="127"/>
      <c r="C16" s="127">
        <v>7</v>
      </c>
      <c r="D16" s="127">
        <v>7</v>
      </c>
      <c r="J16" s="138"/>
      <c r="T16" s="131" t="str">
        <f t="shared" ref="T16:Z16" si="18">""</f>
        <v/>
      </c>
      <c r="U16" s="131" t="str">
        <f t="shared" si="18"/>
        <v/>
      </c>
      <c r="V16" s="131" t="str">
        <f t="shared" si="18"/>
        <v/>
      </c>
      <c r="W16" s="131" t="str">
        <f t="shared" si="18"/>
        <v/>
      </c>
      <c r="X16" s="131" t="str">
        <f t="shared" si="18"/>
        <v/>
      </c>
      <c r="Y16" s="131" t="str">
        <f t="shared" si="18"/>
        <v/>
      </c>
      <c r="Z16" s="148" t="str">
        <f t="shared" si="18"/>
        <v/>
      </c>
      <c r="AB16" s="149" t="str">
        <f t="array" ref="AB16">INDEX(J:J,SMALL(IF(J2:J51&lt;&gt;"",ROW(2:51),52),ROW(J15)))&amp;""</f>
        <v/>
      </c>
      <c r="AE16" s="151" t="e">
        <f t="shared" si="10"/>
        <v>#N/A</v>
      </c>
      <c r="AF16" s="131" t="e">
        <f t="shared" si="11"/>
        <v>#N/A</v>
      </c>
      <c r="AG16" s="131" t="e">
        <f t="shared" ref="AG16:AG21" si="19">INDEX($K$54:$AU$159,$AF$3,AE16)</f>
        <v>#N/A</v>
      </c>
      <c r="AH16" s="148" t="e">
        <f t="shared" si="12"/>
        <v>#N/A</v>
      </c>
      <c r="AI16" s="131" t="str">
        <f>IFERROR(IF(OR(AF20="",COUNTIF(AK2:AK15,AF20)),"",AF20),"")</f>
        <v/>
      </c>
      <c r="AJ16" s="148" t="str" cm="1">
        <f t="array" ref="AJ16">INDEX(AI:AI,SMALL(IF(AI2:AI17&lt;&gt;"",ROW(2:17),17),ROW(AI15)))&amp;""</f>
        <v/>
      </c>
      <c r="AK16" s="132"/>
      <c r="AL16" s="132"/>
      <c r="AM16" s="132"/>
      <c r="AN16" s="132"/>
    </row>
    <row r="17" spans="1:40" ht="14.4" customHeight="1" x14ac:dyDescent="0.25">
      <c r="A17" s="127" t="s">
        <v>2040</v>
      </c>
      <c r="B17" s="127"/>
      <c r="C17" s="127">
        <v>8</v>
      </c>
      <c r="D17" s="127">
        <v>8</v>
      </c>
      <c r="J17" s="138"/>
      <c r="T17" s="131" t="str">
        <f t="shared" ref="T17:Z17" si="20">""</f>
        <v/>
      </c>
      <c r="U17" s="131" t="str">
        <f t="shared" si="20"/>
        <v/>
      </c>
      <c r="V17" s="131" t="str">
        <f t="shared" si="20"/>
        <v/>
      </c>
      <c r="W17" s="131" t="str">
        <f t="shared" si="20"/>
        <v/>
      </c>
      <c r="X17" s="131" t="str">
        <f t="shared" si="20"/>
        <v/>
      </c>
      <c r="Y17" s="131" t="str">
        <f t="shared" si="20"/>
        <v/>
      </c>
      <c r="Z17" s="148" t="str">
        <f t="shared" si="20"/>
        <v/>
      </c>
      <c r="AB17" s="149" t="str">
        <f t="array" ref="AB17">INDEX(J:J,SMALL(IF(J2:J51&lt;&gt;"",ROW(2:51),52),ROW(J16)))&amp;""</f>
        <v/>
      </c>
      <c r="AC17" s="127" t="s">
        <v>2053</v>
      </c>
      <c r="AD17" s="131" t="s">
        <v>2054</v>
      </c>
      <c r="AE17" s="151" t="e">
        <f t="shared" si="10"/>
        <v>#N/A</v>
      </c>
      <c r="AF17" s="131" t="e">
        <f t="shared" si="11"/>
        <v>#N/A</v>
      </c>
      <c r="AG17" s="131" t="e">
        <f t="shared" si="19"/>
        <v>#N/A</v>
      </c>
      <c r="AH17" s="148" t="e">
        <f t="shared" si="12"/>
        <v>#N/A</v>
      </c>
      <c r="AI17" s="142" t="str">
        <f>IFERROR(IF(OR(AF21="",COUNTIF(AK2:AK15,AF21)),"",AF21),"")</f>
        <v/>
      </c>
      <c r="AJ17" s="153" t="str" cm="1">
        <f t="array" ref="AJ17">INDEX(AI:AI,SMALL(IF(AI2:AI17&lt;&gt;"",ROW(2:17),17),ROW(AI16)))&amp;""</f>
        <v/>
      </c>
      <c r="AK17" s="132"/>
      <c r="AL17" s="132"/>
      <c r="AM17" s="132"/>
      <c r="AN17" s="132"/>
    </row>
    <row r="18" spans="1:40" ht="14.4" customHeight="1" x14ac:dyDescent="0.25">
      <c r="A18" s="127" t="s">
        <v>2041</v>
      </c>
      <c r="B18" s="127"/>
      <c r="C18" s="127">
        <v>9</v>
      </c>
      <c r="D18" s="127">
        <v>9</v>
      </c>
      <c r="J18" s="138"/>
      <c r="P18" s="132"/>
      <c r="Q18" s="132"/>
      <c r="R18" s="132"/>
      <c r="S18" s="132"/>
      <c r="T18" s="132" t="str">
        <f t="shared" ref="T18:Z18" si="21">""</f>
        <v/>
      </c>
      <c r="U18" s="132" t="str">
        <f t="shared" si="21"/>
        <v/>
      </c>
      <c r="V18" s="132" t="str">
        <f t="shared" si="21"/>
        <v/>
      </c>
      <c r="W18" s="132" t="str">
        <f t="shared" si="21"/>
        <v/>
      </c>
      <c r="X18" s="132" t="str">
        <f t="shared" si="21"/>
        <v/>
      </c>
      <c r="Y18" s="132" t="str">
        <f t="shared" si="21"/>
        <v/>
      </c>
      <c r="Z18" s="148" t="str">
        <f t="shared" si="21"/>
        <v/>
      </c>
      <c r="AB18" s="149" t="str" cm="1">
        <f t="array" ref="AB18">INDEX(J:J,SMALL(IF(J2:J51&lt;&gt;"",ROW(2:51),52),ROW(J17)))&amp;""</f>
        <v/>
      </c>
      <c r="AC18" s="142" t="str">
        <f>IF(AE4=0,"",COUNTIF(AC3:AC15,AE4))</f>
        <v/>
      </c>
      <c r="AD18" s="142">
        <f>IF(AND(AE4=0,OR(AE3=J2,AE3=J3,AE3=J4,AE3=J7,AE3=J24,AE3=J35,AE3=J50,AE3=J51)),1,"")</f>
        <v>1</v>
      </c>
      <c r="AE18" s="151" t="e">
        <f t="shared" si="10"/>
        <v>#N/A</v>
      </c>
      <c r="AF18" s="131" t="e">
        <f t="shared" si="11"/>
        <v>#N/A</v>
      </c>
      <c r="AG18" s="131" t="e">
        <f t="shared" si="19"/>
        <v>#N/A</v>
      </c>
      <c r="AH18" s="148" t="e">
        <f t="shared" si="12"/>
        <v>#N/A</v>
      </c>
      <c r="AK18" s="158"/>
      <c r="AL18" s="132"/>
      <c r="AM18" s="132"/>
      <c r="AN18" s="132"/>
    </row>
    <row r="19" spans="1:40" ht="14.4" customHeight="1" x14ac:dyDescent="0.25">
      <c r="A19" s="137" t="s">
        <v>2042</v>
      </c>
      <c r="B19" s="137">
        <v>7</v>
      </c>
      <c r="C19" s="137">
        <v>1</v>
      </c>
      <c r="D19" s="137">
        <v>4</v>
      </c>
      <c r="J19" s="138"/>
      <c r="T19" s="131" t="str">
        <f t="shared" ref="T19:Z19" si="22">""</f>
        <v/>
      </c>
      <c r="U19" s="131" t="str">
        <f t="shared" si="22"/>
        <v/>
      </c>
      <c r="V19" s="131" t="str">
        <f t="shared" si="22"/>
        <v/>
      </c>
      <c r="W19" s="131" t="str">
        <f t="shared" si="22"/>
        <v/>
      </c>
      <c r="X19" s="131" t="str">
        <f t="shared" si="22"/>
        <v/>
      </c>
      <c r="Y19" s="131" t="str">
        <f t="shared" si="22"/>
        <v/>
      </c>
      <c r="Z19" s="148" t="str">
        <f t="shared" si="22"/>
        <v/>
      </c>
      <c r="AB19" s="149" t="str" cm="1">
        <f t="array" ref="AB19">INDEX(J:J,SMALL(IF(J2:J51&lt;&gt;"",ROW(2:51),52),ROW(J18)))&amp;""</f>
        <v/>
      </c>
      <c r="AE19" s="151" t="e">
        <f t="shared" si="10"/>
        <v>#N/A</v>
      </c>
      <c r="AF19" s="131" t="e">
        <f t="shared" si="11"/>
        <v>#N/A</v>
      </c>
      <c r="AG19" s="131" t="e">
        <f t="shared" si="19"/>
        <v>#N/A</v>
      </c>
      <c r="AH19" s="148" t="e">
        <f t="shared" si="12"/>
        <v>#N/A</v>
      </c>
      <c r="AK19" s="132"/>
      <c r="AL19" s="132"/>
      <c r="AM19" s="132"/>
      <c r="AN19" s="132"/>
    </row>
    <row r="20" spans="1:40" ht="14.4" customHeight="1" x14ac:dyDescent="0.25">
      <c r="A20" s="137" t="s">
        <v>2044</v>
      </c>
      <c r="B20" s="137">
        <v>8</v>
      </c>
      <c r="C20" s="137">
        <v>1</v>
      </c>
      <c r="D20" s="137">
        <v>3</v>
      </c>
      <c r="J20" s="138"/>
      <c r="T20" s="131" t="str">
        <f t="shared" ref="T20:Z20" si="23">""</f>
        <v/>
      </c>
      <c r="U20" s="131" t="str">
        <f t="shared" si="23"/>
        <v/>
      </c>
      <c r="V20" s="131" t="str">
        <f t="shared" si="23"/>
        <v/>
      </c>
      <c r="W20" s="131" t="str">
        <f t="shared" si="23"/>
        <v/>
      </c>
      <c r="X20" s="131" t="str">
        <f t="shared" si="23"/>
        <v/>
      </c>
      <c r="Y20" s="131" t="str">
        <f t="shared" si="23"/>
        <v/>
      </c>
      <c r="Z20" s="148" t="str">
        <f t="shared" si="23"/>
        <v/>
      </c>
      <c r="AB20" s="149" t="str" cm="1">
        <f t="array" ref="AB20">INDEX(J:J,SMALL(IF(J2:J51&lt;&gt;"",ROW(2:51),52),ROW(J19)))&amp;""</f>
        <v/>
      </c>
      <c r="AE20" s="151" t="e">
        <f t="shared" si="10"/>
        <v>#N/A</v>
      </c>
      <c r="AF20" s="131" t="e">
        <f t="shared" si="11"/>
        <v>#N/A</v>
      </c>
      <c r="AG20" s="131" t="e">
        <f t="shared" si="19"/>
        <v>#N/A</v>
      </c>
      <c r="AH20" s="148" t="e">
        <f t="shared" si="12"/>
        <v>#N/A</v>
      </c>
      <c r="AK20" s="132"/>
      <c r="AL20" s="132"/>
      <c r="AM20" s="132"/>
      <c r="AN20" s="132"/>
    </row>
    <row r="21" spans="1:40" ht="14.4" customHeight="1" x14ac:dyDescent="0.25">
      <c r="A21" s="137" t="s">
        <v>2046</v>
      </c>
      <c r="B21" s="137">
        <v>9</v>
      </c>
      <c r="C21" s="137">
        <v>1</v>
      </c>
      <c r="D21" s="137">
        <v>3</v>
      </c>
      <c r="J21" s="138"/>
      <c r="T21" s="131" t="str">
        <f t="shared" ref="T21:Z21" si="24">""</f>
        <v/>
      </c>
      <c r="U21" s="131" t="str">
        <f t="shared" si="24"/>
        <v/>
      </c>
      <c r="V21" s="131" t="str">
        <f t="shared" si="24"/>
        <v/>
      </c>
      <c r="W21" s="131" t="str">
        <f t="shared" si="24"/>
        <v/>
      </c>
      <c r="X21" s="131" t="str">
        <f t="shared" si="24"/>
        <v/>
      </c>
      <c r="Y21" s="131" t="str">
        <f t="shared" si="24"/>
        <v/>
      </c>
      <c r="Z21" s="148" t="str">
        <f t="shared" si="24"/>
        <v/>
      </c>
      <c r="AB21" s="149" t="str" cm="1">
        <f t="array" ref="AB21">INDEX(J:J,SMALL(IF(J2:J51&lt;&gt;"",ROW(2:51),52),ROW(J20)))&amp;""</f>
        <v/>
      </c>
      <c r="AE21" s="152" t="e">
        <f t="shared" si="10"/>
        <v>#N/A</v>
      </c>
      <c r="AF21" s="142" t="e">
        <f t="shared" si="11"/>
        <v>#N/A</v>
      </c>
      <c r="AG21" s="142" t="e">
        <f t="shared" si="19"/>
        <v>#N/A</v>
      </c>
      <c r="AH21" s="153" t="e">
        <f t="shared" si="12"/>
        <v>#N/A</v>
      </c>
      <c r="AK21" s="132"/>
      <c r="AL21" s="132"/>
      <c r="AM21" s="132"/>
      <c r="AN21" s="132"/>
    </row>
    <row r="22" spans="1:40" ht="14.4" customHeight="1" x14ac:dyDescent="0.25">
      <c r="A22" s="137" t="s">
        <v>2048</v>
      </c>
      <c r="B22" s="137">
        <v>10</v>
      </c>
      <c r="C22" s="137">
        <v>1</v>
      </c>
      <c r="D22" s="137">
        <v>3</v>
      </c>
      <c r="J22" s="138"/>
      <c r="T22" s="131" t="str">
        <f t="shared" ref="T22:Z22" si="25">""</f>
        <v/>
      </c>
      <c r="U22" s="131" t="str">
        <f t="shared" si="25"/>
        <v/>
      </c>
      <c r="V22" s="131" t="str">
        <f t="shared" si="25"/>
        <v/>
      </c>
      <c r="W22" s="131" t="str">
        <f t="shared" si="25"/>
        <v/>
      </c>
      <c r="X22" s="131" t="str">
        <f t="shared" si="25"/>
        <v/>
      </c>
      <c r="Y22" s="131" t="str">
        <f t="shared" si="25"/>
        <v/>
      </c>
      <c r="Z22" s="148" t="str">
        <f t="shared" si="25"/>
        <v/>
      </c>
      <c r="AB22" s="149" t="str">
        <f t="array" ref="AB22">INDEX(J:J,SMALL(IF(J2:J51&lt;&gt;"",ROW(2:51),52),ROW(J21)))&amp;""</f>
        <v/>
      </c>
      <c r="AK22" s="132"/>
      <c r="AL22" s="132"/>
      <c r="AM22" s="132"/>
      <c r="AN22" s="132"/>
    </row>
    <row r="23" spans="1:40" ht="14.4" customHeight="1" x14ac:dyDescent="0.25">
      <c r="A23" s="127" t="s">
        <v>2050</v>
      </c>
      <c r="B23" s="132"/>
      <c r="C23" s="132">
        <v>4</v>
      </c>
      <c r="D23" s="132">
        <v>4</v>
      </c>
      <c r="J23" s="138"/>
      <c r="T23" s="131" t="str">
        <f t="shared" ref="T23:Z23" si="26">""</f>
        <v/>
      </c>
      <c r="U23" s="131" t="str">
        <f t="shared" si="26"/>
        <v/>
      </c>
      <c r="V23" s="131" t="str">
        <f t="shared" si="26"/>
        <v/>
      </c>
      <c r="W23" s="131" t="str">
        <f t="shared" si="26"/>
        <v/>
      </c>
      <c r="X23" s="131" t="str">
        <f t="shared" si="26"/>
        <v/>
      </c>
      <c r="Y23" s="131" t="str">
        <f t="shared" si="26"/>
        <v/>
      </c>
      <c r="Z23" s="148" t="str">
        <f t="shared" si="26"/>
        <v/>
      </c>
      <c r="AB23" s="149" t="str">
        <f t="array" ref="AB23">INDEX(J:J,SMALL(IF(J2:J51&lt;&gt;"",ROW(2:51),52),ROW(J22)))&amp;""</f>
        <v/>
      </c>
      <c r="AL23" s="132"/>
      <c r="AM23" s="132"/>
      <c r="AN23" s="132"/>
    </row>
    <row r="24" spans="1:40" ht="14.4" customHeight="1" x14ac:dyDescent="0.25">
      <c r="A24" s="127" t="s">
        <v>2051</v>
      </c>
      <c r="B24" s="132"/>
      <c r="C24" s="132">
        <v>5</v>
      </c>
      <c r="D24" s="132">
        <v>5</v>
      </c>
      <c r="J24" s="138"/>
      <c r="K24" s="132"/>
      <c r="L24" s="132"/>
      <c r="T24" s="131" t="str">
        <f t="shared" ref="T24:Z24" si="27">""</f>
        <v/>
      </c>
      <c r="U24" s="131" t="str">
        <f t="shared" si="27"/>
        <v/>
      </c>
      <c r="V24" s="131" t="str">
        <f t="shared" si="27"/>
        <v/>
      </c>
      <c r="W24" s="131" t="str">
        <f t="shared" si="27"/>
        <v/>
      </c>
      <c r="X24" s="131" t="str">
        <f t="shared" si="27"/>
        <v/>
      </c>
      <c r="Y24" s="131" t="str">
        <f t="shared" si="27"/>
        <v/>
      </c>
      <c r="Z24" s="148" t="str">
        <f t="shared" si="27"/>
        <v/>
      </c>
      <c r="AB24" s="149" t="str">
        <f t="array" ref="AB24">INDEX(J:J,SMALL(IF(J2:J51&lt;&gt;"",ROW(2:51),52),ROW(J23)))&amp;""</f>
        <v/>
      </c>
      <c r="AL24" s="132"/>
      <c r="AM24" s="132"/>
      <c r="AN24" s="132"/>
    </row>
    <row r="25" spans="1:40" ht="14.4" customHeight="1" x14ac:dyDescent="0.25">
      <c r="A25" s="127" t="s">
        <v>2052</v>
      </c>
      <c r="B25" s="132"/>
      <c r="C25" s="132">
        <v>6</v>
      </c>
      <c r="D25" s="132">
        <v>6</v>
      </c>
      <c r="J25" s="138"/>
      <c r="T25" s="131" t="str">
        <f t="shared" ref="T25:Z25" si="28">""</f>
        <v/>
      </c>
      <c r="U25" s="131" t="str">
        <f t="shared" si="28"/>
        <v/>
      </c>
      <c r="V25" s="131" t="str">
        <f t="shared" si="28"/>
        <v/>
      </c>
      <c r="W25" s="131" t="str">
        <f t="shared" si="28"/>
        <v/>
      </c>
      <c r="X25" s="131" t="str">
        <f t="shared" si="28"/>
        <v/>
      </c>
      <c r="Y25" s="131" t="str">
        <f t="shared" si="28"/>
        <v/>
      </c>
      <c r="Z25" s="148" t="str">
        <f t="shared" si="28"/>
        <v/>
      </c>
      <c r="AB25" s="149" t="str">
        <f t="array" ref="AB25">INDEX(J:J,SMALL(IF(J2:J51&lt;&gt;"",ROW(2:51),52),ROW(J24)))&amp;""</f>
        <v/>
      </c>
      <c r="AL25" s="132"/>
      <c r="AM25" s="132"/>
      <c r="AN25" s="132"/>
    </row>
    <row r="26" spans="1:40" ht="14.4" customHeight="1" x14ac:dyDescent="0.25">
      <c r="A26" s="132"/>
      <c r="B26" s="132"/>
      <c r="C26" s="132"/>
      <c r="D26" s="132"/>
      <c r="J26" s="138"/>
      <c r="T26" s="131" t="str">
        <f t="shared" ref="T26:Z26" si="29">""</f>
        <v/>
      </c>
      <c r="U26" s="131" t="str">
        <f t="shared" si="29"/>
        <v/>
      </c>
      <c r="V26" s="131" t="str">
        <f t="shared" si="29"/>
        <v/>
      </c>
      <c r="W26" s="131" t="str">
        <f t="shared" si="29"/>
        <v/>
      </c>
      <c r="X26" s="131" t="str">
        <f t="shared" si="29"/>
        <v/>
      </c>
      <c r="Y26" s="131" t="str">
        <f t="shared" si="29"/>
        <v/>
      </c>
      <c r="Z26" s="148" t="str">
        <f t="shared" si="29"/>
        <v/>
      </c>
      <c r="AB26" s="149" t="str">
        <f t="array" ref="AB26">INDEX(J:J,SMALL(IF(J2:J51&lt;&gt;"",ROW(2:51),52),ROW(J25)))&amp;""</f>
        <v/>
      </c>
    </row>
    <row r="27" spans="1:40" ht="14.4" customHeight="1" x14ac:dyDescent="0.25">
      <c r="A27" s="132"/>
      <c r="B27" s="132"/>
      <c r="C27" s="132"/>
      <c r="D27" s="132"/>
      <c r="J27" s="138"/>
      <c r="T27" s="131" t="str">
        <f t="shared" ref="T27:Z27" si="30">""</f>
        <v/>
      </c>
      <c r="U27" s="131" t="str">
        <f t="shared" si="30"/>
        <v/>
      </c>
      <c r="V27" s="131" t="str">
        <f t="shared" si="30"/>
        <v/>
      </c>
      <c r="W27" s="131" t="str">
        <f t="shared" si="30"/>
        <v/>
      </c>
      <c r="X27" s="131" t="str">
        <f t="shared" si="30"/>
        <v/>
      </c>
      <c r="Y27" s="131" t="str">
        <f t="shared" si="30"/>
        <v/>
      </c>
      <c r="Z27" s="148" t="str">
        <f t="shared" si="30"/>
        <v/>
      </c>
      <c r="AB27" s="149" t="str">
        <f t="array" ref="AB27">INDEX(J:J,SMALL(IF(J2:J51&lt;&gt;"",ROW(2:51),52),ROW(J26)))&amp;""</f>
        <v/>
      </c>
    </row>
    <row r="28" spans="1:40" ht="14.4" customHeight="1" x14ac:dyDescent="0.25">
      <c r="A28" s="137"/>
      <c r="B28" s="137"/>
      <c r="C28" s="137"/>
      <c r="D28" s="137"/>
      <c r="J28" s="138"/>
      <c r="T28" s="131" t="str">
        <f t="shared" ref="T28:Z28" si="31">""</f>
        <v/>
      </c>
      <c r="U28" s="131" t="str">
        <f t="shared" si="31"/>
        <v/>
      </c>
      <c r="V28" s="131" t="str">
        <f t="shared" si="31"/>
        <v/>
      </c>
      <c r="W28" s="131" t="str">
        <f t="shared" si="31"/>
        <v/>
      </c>
      <c r="X28" s="131" t="str">
        <f t="shared" si="31"/>
        <v/>
      </c>
      <c r="Y28" s="131" t="str">
        <f t="shared" si="31"/>
        <v/>
      </c>
      <c r="Z28" s="148" t="str">
        <f t="shared" si="31"/>
        <v/>
      </c>
      <c r="AB28" s="149" t="str" cm="1">
        <f t="array" ref="AB28">INDEX(J:J,SMALL(IF(J2:J51&lt;&gt;"",ROW(2:51),52),ROW(J27)))&amp;""</f>
        <v/>
      </c>
    </row>
    <row r="29" spans="1:40" ht="14.4" customHeight="1" x14ac:dyDescent="0.25">
      <c r="A29" s="132"/>
      <c r="B29" s="132"/>
      <c r="C29" s="132"/>
      <c r="D29" s="132"/>
      <c r="J29" s="138"/>
      <c r="T29" s="131" t="str">
        <f t="shared" ref="T29:Z29" si="32">""</f>
        <v/>
      </c>
      <c r="U29" s="131" t="str">
        <f t="shared" si="32"/>
        <v/>
      </c>
      <c r="V29" s="131" t="str">
        <f t="shared" si="32"/>
        <v/>
      </c>
      <c r="W29" s="131" t="str">
        <f t="shared" si="32"/>
        <v/>
      </c>
      <c r="X29" s="131" t="str">
        <f t="shared" si="32"/>
        <v/>
      </c>
      <c r="Y29" s="131" t="str">
        <f t="shared" si="32"/>
        <v/>
      </c>
      <c r="Z29" s="148" t="str">
        <f t="shared" si="32"/>
        <v/>
      </c>
      <c r="AB29" s="149" t="str">
        <f t="array" ref="AB29">INDEX(J:J,SMALL(IF(J2:J51&lt;&gt;"",ROW(2:51),52),ROW(J28)))&amp;""</f>
        <v/>
      </c>
    </row>
    <row r="30" spans="1:40" ht="14.4" customHeight="1" x14ac:dyDescent="0.25">
      <c r="A30" s="132"/>
      <c r="B30" s="132"/>
      <c r="C30" s="132"/>
      <c r="D30" s="132"/>
      <c r="J30" s="138"/>
      <c r="T30" s="131" t="str">
        <f t="shared" ref="T30:Z30" si="33">""</f>
        <v/>
      </c>
      <c r="U30" s="131" t="str">
        <f t="shared" si="33"/>
        <v/>
      </c>
      <c r="V30" s="131" t="str">
        <f t="shared" si="33"/>
        <v/>
      </c>
      <c r="W30" s="131" t="str">
        <f t="shared" si="33"/>
        <v/>
      </c>
      <c r="X30" s="131" t="str">
        <f t="shared" si="33"/>
        <v/>
      </c>
      <c r="Y30" s="131" t="str">
        <f t="shared" si="33"/>
        <v/>
      </c>
      <c r="Z30" s="148" t="str">
        <f t="shared" si="33"/>
        <v/>
      </c>
      <c r="AB30" s="149" t="str">
        <f t="array" ref="AB30">INDEX(J:J,SMALL(IF(J2:J51&lt;&gt;"",ROW(2:51),52),ROW(J29)))&amp;""</f>
        <v/>
      </c>
    </row>
    <row r="31" spans="1:40" ht="14.4" customHeight="1" x14ac:dyDescent="0.25">
      <c r="A31" s="137"/>
      <c r="B31" s="137"/>
      <c r="C31" s="137"/>
      <c r="D31" s="137"/>
      <c r="J31" s="138"/>
      <c r="T31" s="131" t="str">
        <f t="shared" ref="T31:Z31" si="34">""</f>
        <v/>
      </c>
      <c r="U31" s="131" t="str">
        <f t="shared" si="34"/>
        <v/>
      </c>
      <c r="V31" s="131" t="str">
        <f t="shared" si="34"/>
        <v/>
      </c>
      <c r="W31" s="131" t="str">
        <f t="shared" si="34"/>
        <v/>
      </c>
      <c r="X31" s="131" t="str">
        <f t="shared" si="34"/>
        <v/>
      </c>
      <c r="Y31" s="131" t="str">
        <f t="shared" si="34"/>
        <v/>
      </c>
      <c r="Z31" s="148" t="str">
        <f t="shared" si="34"/>
        <v/>
      </c>
      <c r="AB31" s="149" t="str">
        <f t="array" ref="AB31">INDEX(J:J,SMALL(IF(J2:J51&lt;&gt;"",ROW(2:51),52),ROW(J30)))&amp;""</f>
        <v/>
      </c>
    </row>
    <row r="32" spans="1:40" ht="14.4" customHeight="1" x14ac:dyDescent="0.25">
      <c r="J32" s="138"/>
      <c r="T32" s="131" t="str">
        <f t="shared" ref="T32:Z32" si="35">""</f>
        <v/>
      </c>
      <c r="U32" s="131" t="str">
        <f t="shared" si="35"/>
        <v/>
      </c>
      <c r="V32" s="131" t="str">
        <f t="shared" si="35"/>
        <v/>
      </c>
      <c r="W32" s="131" t="str">
        <f t="shared" si="35"/>
        <v/>
      </c>
      <c r="X32" s="131" t="str">
        <f t="shared" si="35"/>
        <v/>
      </c>
      <c r="Y32" s="131" t="str">
        <f t="shared" si="35"/>
        <v/>
      </c>
      <c r="Z32" s="148" t="str">
        <f t="shared" si="35"/>
        <v/>
      </c>
      <c r="AB32" s="149" t="str">
        <f t="array" ref="AB32">INDEX(J:J,SMALL(IF(J2:J51&lt;&gt;"",ROW(2:51),52),ROW(J31)))&amp;""</f>
        <v/>
      </c>
    </row>
    <row r="33" spans="10:31" ht="14.4" customHeight="1" x14ac:dyDescent="0.25">
      <c r="J33" s="138"/>
      <c r="T33" s="131" t="str">
        <f t="shared" ref="T33:Z33" si="36">""</f>
        <v/>
      </c>
      <c r="U33" s="131" t="str">
        <f t="shared" si="36"/>
        <v/>
      </c>
      <c r="V33" s="131" t="str">
        <f t="shared" si="36"/>
        <v/>
      </c>
      <c r="W33" s="131" t="str">
        <f t="shared" si="36"/>
        <v/>
      </c>
      <c r="X33" s="131" t="str">
        <f t="shared" si="36"/>
        <v/>
      </c>
      <c r="Y33" s="131" t="str">
        <f t="shared" si="36"/>
        <v/>
      </c>
      <c r="Z33" s="148" t="str">
        <f t="shared" si="36"/>
        <v/>
      </c>
      <c r="AB33" s="149" t="str">
        <f t="array" ref="AB33">INDEX(J:J,SMALL(IF(J2:J51&lt;&gt;"",ROW(2:51),52),ROW(J32)))&amp;""</f>
        <v/>
      </c>
    </row>
    <row r="34" spans="10:31" ht="14.4" customHeight="1" x14ac:dyDescent="0.25">
      <c r="J34" s="138"/>
      <c r="T34" s="131" t="str">
        <f t="shared" ref="T34:Z34" si="37">""</f>
        <v/>
      </c>
      <c r="U34" s="131" t="str">
        <f t="shared" si="37"/>
        <v/>
      </c>
      <c r="V34" s="131" t="str">
        <f t="shared" si="37"/>
        <v/>
      </c>
      <c r="W34" s="131" t="str">
        <f t="shared" si="37"/>
        <v/>
      </c>
      <c r="X34" s="131" t="str">
        <f t="shared" si="37"/>
        <v/>
      </c>
      <c r="Y34" s="131" t="str">
        <f t="shared" si="37"/>
        <v/>
      </c>
      <c r="Z34" s="148" t="str">
        <f t="shared" si="37"/>
        <v/>
      </c>
      <c r="AB34" s="149" t="str">
        <f t="array" ref="AB34">INDEX(J:J,SMALL(IF(J2:J51&lt;&gt;"",ROW(2:51),52),ROW(J33)))&amp;""</f>
        <v/>
      </c>
    </row>
    <row r="35" spans="10:31" ht="14.4" customHeight="1" x14ac:dyDescent="0.25">
      <c r="J35" s="138"/>
      <c r="K35" s="132"/>
      <c r="L35" s="132"/>
      <c r="M35" s="132"/>
      <c r="N35" s="132"/>
      <c r="T35" s="131" t="str">
        <f t="shared" ref="T35:Z35" si="38">""</f>
        <v/>
      </c>
      <c r="U35" s="131" t="str">
        <f t="shared" si="38"/>
        <v/>
      </c>
      <c r="V35" s="131" t="str">
        <f t="shared" si="38"/>
        <v/>
      </c>
      <c r="W35" s="131" t="str">
        <f t="shared" si="38"/>
        <v/>
      </c>
      <c r="X35" s="131" t="str">
        <f t="shared" si="38"/>
        <v/>
      </c>
      <c r="Y35" s="131" t="str">
        <f t="shared" si="38"/>
        <v/>
      </c>
      <c r="Z35" s="148" t="str">
        <f t="shared" si="38"/>
        <v/>
      </c>
      <c r="AB35" s="149" t="str">
        <f t="array" ref="AB35">INDEX(J:J,SMALL(IF(J2:J51&lt;&gt;"",ROW(2:51),52),ROW(J34)))&amp;""</f>
        <v/>
      </c>
      <c r="AC35" s="132"/>
    </row>
    <row r="36" spans="10:31" ht="14.4" customHeight="1" x14ac:dyDescent="0.25">
      <c r="J36" s="138"/>
      <c r="T36" s="131" t="str">
        <f t="shared" ref="T36:Z36" si="39">""</f>
        <v/>
      </c>
      <c r="U36" s="131" t="str">
        <f t="shared" si="39"/>
        <v/>
      </c>
      <c r="V36" s="131" t="str">
        <f t="shared" si="39"/>
        <v/>
      </c>
      <c r="W36" s="131" t="str">
        <f t="shared" si="39"/>
        <v/>
      </c>
      <c r="X36" s="131" t="str">
        <f t="shared" si="39"/>
        <v/>
      </c>
      <c r="Y36" s="131" t="str">
        <f t="shared" si="39"/>
        <v/>
      </c>
      <c r="Z36" s="148" t="str">
        <f t="shared" si="39"/>
        <v/>
      </c>
      <c r="AB36" s="149" t="str">
        <f t="array" ref="AB36">INDEX(J:J,SMALL(IF(J2:J51&lt;&gt;"",ROW(2:51),52),ROW(J35)))&amp;""</f>
        <v/>
      </c>
      <c r="AC36" s="132"/>
    </row>
    <row r="37" spans="10:31" ht="14.4" customHeight="1" x14ac:dyDescent="0.25">
      <c r="J37" s="138"/>
      <c r="T37" s="131" t="str">
        <f t="shared" ref="T37:Z37" si="40">""</f>
        <v/>
      </c>
      <c r="U37" s="131" t="str">
        <f t="shared" si="40"/>
        <v/>
      </c>
      <c r="V37" s="131" t="str">
        <f t="shared" si="40"/>
        <v/>
      </c>
      <c r="W37" s="131" t="str">
        <f t="shared" si="40"/>
        <v/>
      </c>
      <c r="X37" s="131" t="str">
        <f t="shared" si="40"/>
        <v/>
      </c>
      <c r="Y37" s="131" t="str">
        <f t="shared" si="40"/>
        <v/>
      </c>
      <c r="Z37" s="148" t="str">
        <f t="shared" si="40"/>
        <v/>
      </c>
      <c r="AB37" s="149" t="str">
        <f t="array" ref="AB37">INDEX(J:J,SMALL(IF(J2:J51&lt;&gt;"",ROW(2:51),52),ROW(J36)))&amp;""</f>
        <v/>
      </c>
      <c r="AC37" s="132"/>
    </row>
    <row r="38" spans="10:31" ht="14.4" customHeight="1" x14ac:dyDescent="0.25">
      <c r="J38" s="138"/>
      <c r="T38" s="131" t="str">
        <f t="shared" ref="T38:Z38" si="41">""</f>
        <v/>
      </c>
      <c r="U38" s="131" t="str">
        <f t="shared" si="41"/>
        <v/>
      </c>
      <c r="V38" s="131" t="str">
        <f t="shared" si="41"/>
        <v/>
      </c>
      <c r="W38" s="131" t="str">
        <f t="shared" si="41"/>
        <v/>
      </c>
      <c r="X38" s="131" t="str">
        <f t="shared" si="41"/>
        <v/>
      </c>
      <c r="Y38" s="131" t="str">
        <f t="shared" si="41"/>
        <v/>
      </c>
      <c r="Z38" s="148" t="str">
        <f t="shared" si="41"/>
        <v/>
      </c>
      <c r="AB38" s="149" t="str">
        <f t="array" ref="AB38">INDEX(J:J,SMALL(IF(J2:J51&lt;&gt;"",ROW(2:51),52),ROW(J37)))&amp;""</f>
        <v/>
      </c>
      <c r="AC38" s="132"/>
    </row>
    <row r="39" spans="10:31" ht="14.4" customHeight="1" x14ac:dyDescent="0.25">
      <c r="J39" s="138"/>
      <c r="T39" s="131" t="str">
        <f t="shared" ref="T39:Z39" si="42">""</f>
        <v/>
      </c>
      <c r="U39" s="131" t="str">
        <f t="shared" si="42"/>
        <v/>
      </c>
      <c r="V39" s="131" t="str">
        <f t="shared" si="42"/>
        <v/>
      </c>
      <c r="W39" s="131" t="str">
        <f t="shared" si="42"/>
        <v/>
      </c>
      <c r="X39" s="131" t="str">
        <f t="shared" si="42"/>
        <v/>
      </c>
      <c r="Y39" s="131" t="str">
        <f t="shared" si="42"/>
        <v/>
      </c>
      <c r="Z39" s="148" t="str">
        <f t="shared" si="42"/>
        <v/>
      </c>
      <c r="AB39" s="149" t="str">
        <f t="array" ref="AB39">INDEX(J:J,SMALL(IF(J2:J51&lt;&gt;"",ROW(2:51),52),ROW(J38)))&amp;""</f>
        <v/>
      </c>
      <c r="AC39" s="132"/>
    </row>
    <row r="40" spans="10:31" ht="14.4" customHeight="1" x14ac:dyDescent="0.25">
      <c r="J40" s="140"/>
      <c r="T40" s="131" t="str">
        <f t="shared" ref="T40:Z40" si="43">""</f>
        <v/>
      </c>
      <c r="U40" s="131" t="str">
        <f t="shared" si="43"/>
        <v/>
      </c>
      <c r="V40" s="131" t="str">
        <f t="shared" si="43"/>
        <v/>
      </c>
      <c r="W40" s="131" t="str">
        <f t="shared" si="43"/>
        <v/>
      </c>
      <c r="X40" s="131" t="str">
        <f t="shared" si="43"/>
        <v/>
      </c>
      <c r="Y40" s="131" t="str">
        <f t="shared" si="43"/>
        <v/>
      </c>
      <c r="Z40" s="148" t="str">
        <f t="shared" si="43"/>
        <v/>
      </c>
      <c r="AB40" s="149" t="str">
        <f t="array" ref="AB40">INDEX(J:J,SMALL(IF(J2:J51&lt;&gt;"",ROW(2:51),52),ROW(J39)))&amp;""</f>
        <v/>
      </c>
      <c r="AC40" s="132"/>
    </row>
    <row r="41" spans="10:31" ht="14.4" customHeight="1" x14ac:dyDescent="0.25">
      <c r="J41" s="140"/>
      <c r="T41" s="131" t="str">
        <f t="shared" ref="T41:Z41" si="44">""</f>
        <v/>
      </c>
      <c r="U41" s="131" t="str">
        <f t="shared" si="44"/>
        <v/>
      </c>
      <c r="V41" s="131" t="str">
        <f t="shared" si="44"/>
        <v/>
      </c>
      <c r="W41" s="131" t="str">
        <f t="shared" si="44"/>
        <v/>
      </c>
      <c r="X41" s="131" t="str">
        <f t="shared" si="44"/>
        <v/>
      </c>
      <c r="Y41" s="131" t="str">
        <f t="shared" si="44"/>
        <v/>
      </c>
      <c r="Z41" s="148" t="str">
        <f t="shared" si="44"/>
        <v/>
      </c>
      <c r="AB41" s="149" t="str">
        <f t="array" ref="AB41">INDEX(J:J,SMALL(IF(J2:J51&lt;&gt;"",ROW(2:51),52),ROW(J40)))&amp;""</f>
        <v/>
      </c>
      <c r="AC41" s="132"/>
    </row>
    <row r="42" spans="10:31" ht="14.4" customHeight="1" x14ac:dyDescent="0.25">
      <c r="J42" s="140"/>
      <c r="T42" s="131" t="str">
        <f t="shared" ref="T42:Z42" si="45">""</f>
        <v/>
      </c>
      <c r="U42" s="131" t="str">
        <f t="shared" si="45"/>
        <v/>
      </c>
      <c r="V42" s="131" t="str">
        <f t="shared" si="45"/>
        <v/>
      </c>
      <c r="W42" s="131" t="str">
        <f t="shared" si="45"/>
        <v/>
      </c>
      <c r="X42" s="131" t="str">
        <f t="shared" si="45"/>
        <v/>
      </c>
      <c r="Y42" s="131" t="str">
        <f t="shared" si="45"/>
        <v/>
      </c>
      <c r="Z42" s="148" t="str">
        <f t="shared" si="45"/>
        <v/>
      </c>
      <c r="AB42" s="149" t="str">
        <f t="array" ref="AB42">INDEX(J:J,SMALL(IF(J2:J51&lt;&gt;"",ROW(2:51),52),ROW(J41)))&amp;""</f>
        <v/>
      </c>
      <c r="AC42" s="132"/>
    </row>
    <row r="43" spans="10:31" ht="14.4" customHeight="1" x14ac:dyDescent="0.25">
      <c r="J43" s="140"/>
      <c r="T43" s="131" t="str">
        <f t="shared" ref="T43:Z43" si="46">""</f>
        <v/>
      </c>
      <c r="U43" s="131" t="str">
        <f t="shared" si="46"/>
        <v/>
      </c>
      <c r="V43" s="131" t="str">
        <f t="shared" si="46"/>
        <v/>
      </c>
      <c r="W43" s="131" t="str">
        <f t="shared" si="46"/>
        <v/>
      </c>
      <c r="X43" s="131" t="str">
        <f t="shared" si="46"/>
        <v/>
      </c>
      <c r="Y43" s="131" t="str">
        <f t="shared" si="46"/>
        <v/>
      </c>
      <c r="Z43" s="148" t="str">
        <f t="shared" si="46"/>
        <v/>
      </c>
      <c r="AB43" s="149" t="str">
        <f t="array" ref="AB43">INDEX(J:J,SMALL(IF(J2:J51&lt;&gt;"",ROW(2:51),52),ROW(J42)))&amp;""</f>
        <v/>
      </c>
      <c r="AE43" s="132"/>
    </row>
    <row r="44" spans="10:31" ht="14.4" customHeight="1" x14ac:dyDescent="0.25">
      <c r="J44" s="140"/>
      <c r="T44" s="131" t="str">
        <f t="shared" ref="T44:Z44" si="47">""</f>
        <v/>
      </c>
      <c r="U44" s="131" t="str">
        <f t="shared" si="47"/>
        <v/>
      </c>
      <c r="V44" s="131" t="str">
        <f t="shared" si="47"/>
        <v/>
      </c>
      <c r="W44" s="131" t="str">
        <f t="shared" si="47"/>
        <v/>
      </c>
      <c r="X44" s="131" t="str">
        <f t="shared" si="47"/>
        <v/>
      </c>
      <c r="Y44" s="131" t="str">
        <f t="shared" si="47"/>
        <v/>
      </c>
      <c r="Z44" s="148" t="str">
        <f t="shared" si="47"/>
        <v/>
      </c>
      <c r="AB44" s="149" t="str">
        <f t="array" ref="AB44">INDEX(J:J,SMALL(IF(J2:J51&lt;&gt;"",ROW(2:51),52),ROW(J43)))&amp;""</f>
        <v/>
      </c>
    </row>
    <row r="45" spans="10:31" ht="14.4" customHeight="1" x14ac:dyDescent="0.25">
      <c r="J45" s="140"/>
      <c r="T45" s="131" t="str">
        <f t="shared" ref="T45:Z45" si="48">""</f>
        <v/>
      </c>
      <c r="U45" s="131" t="str">
        <f t="shared" si="48"/>
        <v/>
      </c>
      <c r="V45" s="131" t="str">
        <f t="shared" si="48"/>
        <v/>
      </c>
      <c r="W45" s="131" t="str">
        <f t="shared" si="48"/>
        <v/>
      </c>
      <c r="X45" s="131" t="str">
        <f t="shared" si="48"/>
        <v/>
      </c>
      <c r="Y45" s="131" t="str">
        <f t="shared" si="48"/>
        <v/>
      </c>
      <c r="Z45" s="148" t="str">
        <f t="shared" si="48"/>
        <v/>
      </c>
      <c r="AB45" s="149" t="str">
        <f t="array" ref="AB45">INDEX(J:J,SMALL(IF(J2:J51&lt;&gt;"",ROW(2:51),52),ROW(J44)))&amp;""</f>
        <v/>
      </c>
    </row>
    <row r="46" spans="10:31" ht="14.4" customHeight="1" x14ac:dyDescent="0.25">
      <c r="J46" s="140"/>
      <c r="T46" s="131" t="str">
        <f t="shared" ref="T46:Z46" si="49">""</f>
        <v/>
      </c>
      <c r="U46" s="131" t="str">
        <f t="shared" si="49"/>
        <v/>
      </c>
      <c r="V46" s="131" t="str">
        <f t="shared" si="49"/>
        <v/>
      </c>
      <c r="W46" s="131" t="str">
        <f t="shared" si="49"/>
        <v/>
      </c>
      <c r="X46" s="131" t="str">
        <f t="shared" si="49"/>
        <v/>
      </c>
      <c r="Y46" s="131" t="str">
        <f t="shared" si="49"/>
        <v/>
      </c>
      <c r="Z46" s="148" t="str">
        <f t="shared" si="49"/>
        <v/>
      </c>
      <c r="AB46" s="149" t="str">
        <f t="array" ref="AB46">INDEX(J:J,SMALL(IF(J2:J51&lt;&gt;"",ROW(2:51),52),ROW(J45)))&amp;""</f>
        <v/>
      </c>
    </row>
    <row r="47" spans="10:31" ht="14.4" customHeight="1" x14ac:dyDescent="0.25">
      <c r="J47" s="140"/>
      <c r="T47" s="131" t="str">
        <f t="shared" ref="T47:Z47" si="50">""</f>
        <v/>
      </c>
      <c r="U47" s="131" t="str">
        <f t="shared" si="50"/>
        <v/>
      </c>
      <c r="V47" s="131" t="str">
        <f t="shared" si="50"/>
        <v/>
      </c>
      <c r="W47" s="131" t="str">
        <f t="shared" si="50"/>
        <v/>
      </c>
      <c r="X47" s="131" t="str">
        <f t="shared" si="50"/>
        <v/>
      </c>
      <c r="Y47" s="131" t="str">
        <f t="shared" si="50"/>
        <v/>
      </c>
      <c r="Z47" s="148" t="str">
        <f t="shared" si="50"/>
        <v/>
      </c>
      <c r="AB47" s="149" t="str" cm="1">
        <f t="array" ref="AB47">INDEX(J:J,SMALL(IF(J2:J51&lt;&gt;"",ROW(2:51),52),ROW(J46)))&amp;""</f>
        <v/>
      </c>
    </row>
    <row r="48" spans="10:31" ht="14.4" customHeight="1" x14ac:dyDescent="0.25">
      <c r="J48" s="138"/>
      <c r="K48" s="131" t="str">
        <f t="shared" ref="K48:Z48" si="51">""</f>
        <v/>
      </c>
      <c r="L48" s="131" t="str">
        <f t="shared" si="51"/>
        <v/>
      </c>
      <c r="M48" s="131" t="str">
        <f t="shared" si="51"/>
        <v/>
      </c>
      <c r="N48" s="131" t="str">
        <f t="shared" si="51"/>
        <v/>
      </c>
      <c r="O48" s="131" t="str">
        <f t="shared" si="51"/>
        <v/>
      </c>
      <c r="P48" s="131" t="str">
        <f t="shared" si="51"/>
        <v/>
      </c>
      <c r="Q48" s="131" t="str">
        <f t="shared" si="51"/>
        <v/>
      </c>
      <c r="R48" s="131" t="str">
        <f t="shared" si="51"/>
        <v/>
      </c>
      <c r="S48" s="131" t="str">
        <f t="shared" si="51"/>
        <v/>
      </c>
      <c r="T48" s="131" t="str">
        <f t="shared" si="51"/>
        <v/>
      </c>
      <c r="U48" s="131" t="str">
        <f t="shared" si="51"/>
        <v/>
      </c>
      <c r="V48" s="131" t="str">
        <f t="shared" si="51"/>
        <v/>
      </c>
      <c r="W48" s="131" t="str">
        <f t="shared" si="51"/>
        <v/>
      </c>
      <c r="X48" s="131" t="str">
        <f t="shared" si="51"/>
        <v/>
      </c>
      <c r="Y48" s="131" t="str">
        <f t="shared" si="51"/>
        <v/>
      </c>
      <c r="Z48" s="148" t="str">
        <f t="shared" si="51"/>
        <v/>
      </c>
      <c r="AB48" s="149" t="str">
        <f t="array" ref="AB48">INDEX(J:J,SMALL(IF(J2:J51&lt;&gt;"",ROW(2:51),52),ROW(J47)))&amp;""</f>
        <v/>
      </c>
    </row>
    <row r="49" spans="9:47" ht="14.4" customHeight="1" x14ac:dyDescent="0.25">
      <c r="J49" s="138"/>
      <c r="K49" s="132" t="str">
        <f t="shared" ref="K49:Z49" si="52">""</f>
        <v/>
      </c>
      <c r="L49" s="132" t="str">
        <f t="shared" si="52"/>
        <v/>
      </c>
      <c r="M49" s="132" t="str">
        <f t="shared" si="52"/>
        <v/>
      </c>
      <c r="N49" s="132" t="str">
        <f t="shared" si="52"/>
        <v/>
      </c>
      <c r="O49" s="132" t="str">
        <f t="shared" si="52"/>
        <v/>
      </c>
      <c r="P49" s="132" t="str">
        <f t="shared" si="52"/>
        <v/>
      </c>
      <c r="Q49" s="132" t="str">
        <f t="shared" si="52"/>
        <v/>
      </c>
      <c r="R49" s="132" t="str">
        <f t="shared" si="52"/>
        <v/>
      </c>
      <c r="S49" s="132" t="str">
        <f t="shared" si="52"/>
        <v/>
      </c>
      <c r="T49" s="132" t="str">
        <f t="shared" si="52"/>
        <v/>
      </c>
      <c r="U49" s="132" t="str">
        <f t="shared" si="52"/>
        <v/>
      </c>
      <c r="V49" s="132" t="str">
        <f t="shared" si="52"/>
        <v/>
      </c>
      <c r="W49" s="132" t="str">
        <f t="shared" si="52"/>
        <v/>
      </c>
      <c r="X49" s="132" t="str">
        <f t="shared" si="52"/>
        <v/>
      </c>
      <c r="Y49" s="132" t="str">
        <f t="shared" si="52"/>
        <v/>
      </c>
      <c r="Z49" s="148" t="str">
        <f t="shared" si="52"/>
        <v/>
      </c>
      <c r="AB49" s="149" t="str">
        <f t="array" ref="AB49">INDEX(J:J,SMALL(IF(J2:J51&lt;&gt;"",ROW(2:51),52),ROW(J48)))&amp;""</f>
        <v/>
      </c>
    </row>
    <row r="50" spans="9:47" ht="14.4" customHeight="1" x14ac:dyDescent="0.25">
      <c r="J50" s="138"/>
      <c r="K50" s="132" t="str">
        <f t="shared" ref="K50:Z50" si="53">""</f>
        <v/>
      </c>
      <c r="L50" s="132" t="str">
        <f t="shared" si="53"/>
        <v/>
      </c>
      <c r="M50" s="132" t="str">
        <f t="shared" si="53"/>
        <v/>
      </c>
      <c r="N50" s="132" t="str">
        <f t="shared" si="53"/>
        <v/>
      </c>
      <c r="O50" s="132" t="str">
        <f t="shared" si="53"/>
        <v/>
      </c>
      <c r="P50" s="132" t="str">
        <f t="shared" si="53"/>
        <v/>
      </c>
      <c r="Q50" s="132" t="str">
        <f t="shared" si="53"/>
        <v/>
      </c>
      <c r="R50" s="132" t="str">
        <f t="shared" si="53"/>
        <v/>
      </c>
      <c r="S50" s="132" t="str">
        <f t="shared" si="53"/>
        <v/>
      </c>
      <c r="T50" s="132" t="str">
        <f t="shared" si="53"/>
        <v/>
      </c>
      <c r="U50" s="132" t="str">
        <f t="shared" si="53"/>
        <v/>
      </c>
      <c r="V50" s="132" t="str">
        <f t="shared" si="53"/>
        <v/>
      </c>
      <c r="W50" s="132" t="str">
        <f t="shared" si="53"/>
        <v/>
      </c>
      <c r="X50" s="132" t="str">
        <f t="shared" si="53"/>
        <v/>
      </c>
      <c r="Y50" s="132" t="str">
        <f t="shared" si="53"/>
        <v/>
      </c>
      <c r="Z50" s="148" t="str">
        <f t="shared" si="53"/>
        <v/>
      </c>
      <c r="AB50" s="149" t="str">
        <f t="array" ref="AB50">INDEX(J:J,SMALL(IF(J2:J51&lt;&gt;"",ROW(2:51),52),ROW(J49)))&amp;""</f>
        <v/>
      </c>
    </row>
    <row r="51" spans="9:47" ht="14.4" customHeight="1" x14ac:dyDescent="0.25">
      <c r="J51" s="141"/>
      <c r="K51" s="142" t="str">
        <f t="shared" ref="K51:Z51" si="54">""</f>
        <v/>
      </c>
      <c r="L51" s="142" t="str">
        <f t="shared" si="54"/>
        <v/>
      </c>
      <c r="M51" s="142" t="str">
        <f t="shared" si="54"/>
        <v/>
      </c>
      <c r="N51" s="142" t="str">
        <f t="shared" si="54"/>
        <v/>
      </c>
      <c r="O51" s="142" t="str">
        <f t="shared" si="54"/>
        <v/>
      </c>
      <c r="P51" s="142" t="str">
        <f t="shared" si="54"/>
        <v/>
      </c>
      <c r="Q51" s="142" t="str">
        <f t="shared" si="54"/>
        <v/>
      </c>
      <c r="R51" s="142" t="str">
        <f t="shared" si="54"/>
        <v/>
      </c>
      <c r="S51" s="142" t="str">
        <f t="shared" si="54"/>
        <v/>
      </c>
      <c r="T51" s="142" t="str">
        <f t="shared" si="54"/>
        <v/>
      </c>
      <c r="U51" s="142" t="str">
        <f t="shared" si="54"/>
        <v/>
      </c>
      <c r="V51" s="142" t="str">
        <f t="shared" si="54"/>
        <v/>
      </c>
      <c r="W51" s="142" t="str">
        <f t="shared" si="54"/>
        <v/>
      </c>
      <c r="X51" s="142" t="str">
        <f t="shared" si="54"/>
        <v/>
      </c>
      <c r="Y51" s="142" t="str">
        <f t="shared" si="54"/>
        <v/>
      </c>
      <c r="Z51" s="153" t="str">
        <f t="shared" si="54"/>
        <v/>
      </c>
      <c r="AB51" s="154" t="str">
        <f t="array" ref="AB51">INDEX(J:J,SMALL(IF(J2:J51&lt;&gt;"",ROW(2:51),52),ROW(J50)))&amp;""</f>
        <v/>
      </c>
    </row>
    <row r="53" spans="9:47" ht="14.4" customHeight="1" x14ac:dyDescent="0.25">
      <c r="I53" s="143"/>
      <c r="J53" s="144"/>
      <c r="K53" s="144">
        <v>1</v>
      </c>
      <c r="L53" s="144">
        <v>2</v>
      </c>
      <c r="M53" s="144">
        <v>3</v>
      </c>
      <c r="N53" s="144">
        <v>4</v>
      </c>
      <c r="O53" s="144">
        <v>5</v>
      </c>
      <c r="P53" s="144">
        <v>6</v>
      </c>
      <c r="Q53" s="144">
        <v>7</v>
      </c>
      <c r="R53" s="144">
        <v>8</v>
      </c>
      <c r="S53" s="144">
        <v>9</v>
      </c>
      <c r="T53" s="144">
        <v>10</v>
      </c>
      <c r="U53" s="144">
        <v>11</v>
      </c>
      <c r="V53" s="144">
        <v>12</v>
      </c>
      <c r="W53" s="144">
        <v>13</v>
      </c>
      <c r="X53" s="144">
        <v>14</v>
      </c>
      <c r="Y53" s="144">
        <v>15</v>
      </c>
      <c r="Z53" s="144">
        <v>16</v>
      </c>
      <c r="AA53" s="144">
        <v>17</v>
      </c>
      <c r="AB53" s="144">
        <v>18</v>
      </c>
      <c r="AC53" s="144">
        <v>19</v>
      </c>
      <c r="AD53" s="144">
        <v>20</v>
      </c>
      <c r="AE53" s="144">
        <v>21</v>
      </c>
      <c r="AF53" s="144">
        <v>22</v>
      </c>
      <c r="AG53" s="144">
        <v>23</v>
      </c>
      <c r="AH53" s="144">
        <v>24</v>
      </c>
      <c r="AI53" s="144">
        <v>25</v>
      </c>
      <c r="AJ53" s="144">
        <v>26</v>
      </c>
      <c r="AK53" s="144">
        <v>27</v>
      </c>
      <c r="AL53" s="144">
        <v>28</v>
      </c>
      <c r="AM53" s="144">
        <v>29</v>
      </c>
      <c r="AN53" s="144">
        <v>30</v>
      </c>
      <c r="AO53" s="144">
        <v>31</v>
      </c>
      <c r="AP53" s="144">
        <v>32</v>
      </c>
      <c r="AQ53" s="144">
        <v>33</v>
      </c>
      <c r="AR53" s="144">
        <v>34</v>
      </c>
      <c r="AS53" s="144">
        <v>35</v>
      </c>
      <c r="AT53" s="144">
        <v>36</v>
      </c>
      <c r="AU53" s="144">
        <v>37</v>
      </c>
    </row>
    <row r="54" spans="9:47" ht="14.4" customHeight="1" x14ac:dyDescent="0.25">
      <c r="I54" s="647">
        <v>1</v>
      </c>
      <c r="J54" s="645" t="s">
        <v>2015</v>
      </c>
      <c r="K54" s="132" t="s">
        <v>2055</v>
      </c>
      <c r="L54" s="132" t="s">
        <v>2056</v>
      </c>
      <c r="M54" s="132" t="s">
        <v>2057</v>
      </c>
      <c r="N54" s="132" t="s">
        <v>2058</v>
      </c>
      <c r="O54" s="132" t="s">
        <v>2059</v>
      </c>
      <c r="P54" s="132" t="s">
        <v>2060</v>
      </c>
      <c r="Q54" s="132" t="s">
        <v>2061</v>
      </c>
      <c r="R54" s="132" t="s">
        <v>2062</v>
      </c>
      <c r="S54" s="132"/>
      <c r="T54" s="132"/>
      <c r="U54" s="132"/>
      <c r="V54" s="132"/>
      <c r="W54" s="132"/>
      <c r="X54" s="145"/>
      <c r="Y54" s="145"/>
      <c r="Z54" s="145"/>
      <c r="AA54" s="145"/>
      <c r="AB54" s="145"/>
      <c r="AC54" s="145"/>
      <c r="AD54" s="145"/>
      <c r="AE54" s="145"/>
      <c r="AF54" s="145"/>
      <c r="AG54" s="145"/>
      <c r="AH54" s="145"/>
      <c r="AI54" s="145"/>
      <c r="AJ54" s="145"/>
      <c r="AK54" s="145"/>
      <c r="AL54" s="145"/>
      <c r="AM54" s="145"/>
      <c r="AN54" s="145"/>
      <c r="AU54" s="155"/>
    </row>
    <row r="55" spans="9:47" ht="14.4" customHeight="1" x14ac:dyDescent="0.25">
      <c r="I55" s="647"/>
      <c r="J55" s="645"/>
      <c r="K55" s="132" t="s">
        <v>2063</v>
      </c>
      <c r="L55" s="132" t="s">
        <v>2064</v>
      </c>
      <c r="M55" s="132" t="s">
        <v>2065</v>
      </c>
      <c r="N55" s="132" t="s">
        <v>2066</v>
      </c>
      <c r="O55" s="132" t="s">
        <v>2067</v>
      </c>
      <c r="P55" s="132" t="s">
        <v>2068</v>
      </c>
      <c r="Q55" s="132" t="s">
        <v>2069</v>
      </c>
      <c r="R55" s="132" t="s">
        <v>2070</v>
      </c>
      <c r="S55" s="132"/>
      <c r="T55" s="132"/>
      <c r="U55" s="132"/>
      <c r="V55" s="132"/>
      <c r="W55" s="132"/>
      <c r="X55" s="145"/>
      <c r="Y55" s="145"/>
      <c r="Z55" s="145"/>
      <c r="AA55" s="145"/>
      <c r="AB55" s="145"/>
      <c r="AC55" s="145"/>
      <c r="AD55" s="145"/>
      <c r="AE55" s="145"/>
      <c r="AF55" s="145"/>
      <c r="AG55" s="145"/>
      <c r="AH55" s="145"/>
      <c r="AI55" s="145"/>
      <c r="AJ55" s="145"/>
      <c r="AK55" s="145"/>
      <c r="AL55" s="145"/>
      <c r="AM55" s="145"/>
      <c r="AN55" s="145"/>
      <c r="AU55" s="155"/>
    </row>
    <row r="56" spans="9:47" ht="14.4" customHeight="1" x14ac:dyDescent="0.25">
      <c r="I56" s="647">
        <v>2</v>
      </c>
      <c r="J56" s="645" t="s">
        <v>2019</v>
      </c>
      <c r="K56" s="132" t="s">
        <v>2055</v>
      </c>
      <c r="L56" s="145" t="s">
        <v>2071</v>
      </c>
      <c r="M56" s="145" t="s">
        <v>2072</v>
      </c>
      <c r="N56" s="145" t="s">
        <v>2073</v>
      </c>
      <c r="O56" s="132" t="s">
        <v>2074</v>
      </c>
      <c r="P56" s="145"/>
      <c r="Q56" s="145"/>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P56" s="145"/>
      <c r="AQ56" s="145"/>
      <c r="AR56" s="145"/>
      <c r="AU56" s="155"/>
    </row>
    <row r="57" spans="9:47" ht="14.4" customHeight="1" x14ac:dyDescent="0.25">
      <c r="I57" s="647"/>
      <c r="J57" s="645"/>
      <c r="K57" s="132" t="s">
        <v>2063</v>
      </c>
      <c r="L57" s="145" t="s">
        <v>2075</v>
      </c>
      <c r="M57" s="145" t="s">
        <v>2076</v>
      </c>
      <c r="N57" s="145" t="s">
        <v>2077</v>
      </c>
      <c r="O57" s="132" t="s">
        <v>2078</v>
      </c>
      <c r="P57" s="145"/>
      <c r="Q57" s="145"/>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P57" s="145"/>
      <c r="AQ57" s="145"/>
      <c r="AR57" s="145"/>
      <c r="AU57" s="155"/>
    </row>
    <row r="58" spans="9:47" ht="14.4" customHeight="1" x14ac:dyDescent="0.25">
      <c r="I58" s="647">
        <v>3</v>
      </c>
      <c r="J58" s="645" t="s">
        <v>2021</v>
      </c>
      <c r="K58" s="145" t="s">
        <v>2055</v>
      </c>
      <c r="L58" s="145" t="s">
        <v>2079</v>
      </c>
      <c r="M58" s="145" t="s">
        <v>2080</v>
      </c>
      <c r="N58" s="132" t="s">
        <v>2081</v>
      </c>
      <c r="O58" s="132"/>
      <c r="P58" s="145"/>
      <c r="Q58" s="132"/>
      <c r="R58" s="132"/>
      <c r="S58" s="132"/>
      <c r="T58" s="132"/>
      <c r="U58" s="132"/>
      <c r="V58" s="132"/>
      <c r="W58" s="132"/>
      <c r="X58" s="132"/>
      <c r="Y58" s="145"/>
      <c r="Z58" s="145"/>
      <c r="AA58" s="145"/>
      <c r="AB58" s="145"/>
      <c r="AC58" s="145"/>
      <c r="AD58" s="145"/>
      <c r="AE58" s="145"/>
      <c r="AF58" s="145"/>
      <c r="AG58" s="145"/>
      <c r="AH58" s="145"/>
      <c r="AI58" s="145"/>
      <c r="AJ58" s="145"/>
      <c r="AK58" s="145"/>
      <c r="AL58" s="145"/>
      <c r="AM58" s="145"/>
      <c r="AN58" s="145"/>
      <c r="AU58" s="155"/>
    </row>
    <row r="59" spans="9:47" ht="14.4" customHeight="1" x14ac:dyDescent="0.25">
      <c r="I59" s="647"/>
      <c r="J59" s="645"/>
      <c r="K59" s="145" t="s">
        <v>2082</v>
      </c>
      <c r="L59" s="145" t="s">
        <v>2083</v>
      </c>
      <c r="M59" s="132" t="s">
        <v>2084</v>
      </c>
      <c r="N59" s="145" t="s">
        <v>2085</v>
      </c>
      <c r="O59" s="132"/>
      <c r="P59" s="145"/>
      <c r="Q59" s="132"/>
      <c r="R59" s="132"/>
      <c r="S59" s="132"/>
      <c r="T59" s="132"/>
      <c r="U59" s="132"/>
      <c r="V59" s="132"/>
      <c r="W59" s="132"/>
      <c r="X59" s="132"/>
      <c r="Y59" s="145"/>
      <c r="Z59" s="145"/>
      <c r="AA59" s="145"/>
      <c r="AB59" s="145"/>
      <c r="AC59" s="145"/>
      <c r="AD59" s="145"/>
      <c r="AE59" s="145"/>
      <c r="AF59" s="145"/>
      <c r="AG59" s="145"/>
      <c r="AH59" s="145"/>
      <c r="AI59" s="145"/>
      <c r="AJ59" s="145"/>
      <c r="AK59" s="145"/>
      <c r="AL59" s="145"/>
      <c r="AM59" s="145"/>
      <c r="AN59" s="145"/>
      <c r="AU59" s="155"/>
    </row>
    <row r="60" spans="9:47" ht="14.4" customHeight="1" x14ac:dyDescent="0.25">
      <c r="I60" s="647">
        <v>4</v>
      </c>
      <c r="J60" s="645" t="s">
        <v>2023</v>
      </c>
      <c r="K60" s="145" t="s">
        <v>2055</v>
      </c>
      <c r="L60" s="145" t="s">
        <v>2086</v>
      </c>
      <c r="M60" s="132" t="s">
        <v>2087</v>
      </c>
      <c r="N60" s="132" t="s">
        <v>2088</v>
      </c>
      <c r="O60" s="145" t="s">
        <v>2089</v>
      </c>
      <c r="P60" s="145" t="s">
        <v>2025</v>
      </c>
      <c r="Q60" s="132" t="s">
        <v>2026</v>
      </c>
      <c r="R60" s="132" t="s">
        <v>2027</v>
      </c>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U60" s="155"/>
    </row>
    <row r="61" spans="9:47" ht="14.4" customHeight="1" x14ac:dyDescent="0.25">
      <c r="I61" s="647"/>
      <c r="J61" s="645"/>
      <c r="K61" s="145" t="s">
        <v>2063</v>
      </c>
      <c r="L61" s="145" t="s">
        <v>2090</v>
      </c>
      <c r="M61" s="132" t="s">
        <v>2091</v>
      </c>
      <c r="N61" s="132" t="s">
        <v>2092</v>
      </c>
      <c r="O61" s="145" t="s">
        <v>2093</v>
      </c>
      <c r="P61" s="145" t="s">
        <v>2094</v>
      </c>
      <c r="Q61" s="132" t="s">
        <v>2095</v>
      </c>
      <c r="R61" s="132" t="s">
        <v>2096</v>
      </c>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U61" s="155"/>
    </row>
    <row r="62" spans="9:47" ht="14.4" customHeight="1" x14ac:dyDescent="0.25">
      <c r="I62" s="647">
        <v>5</v>
      </c>
      <c r="J62" s="645" t="s">
        <v>2029</v>
      </c>
      <c r="K62" s="145" t="s">
        <v>2055</v>
      </c>
      <c r="L62" s="145" t="s">
        <v>2097</v>
      </c>
      <c r="M62" s="145" t="s">
        <v>2098</v>
      </c>
      <c r="N62" s="145" t="s">
        <v>2031</v>
      </c>
      <c r="O62" s="132" t="s">
        <v>2032</v>
      </c>
      <c r="P62" s="132"/>
      <c r="Q62" s="132"/>
      <c r="R62" s="132"/>
      <c r="S62" s="132"/>
      <c r="T62" s="132"/>
      <c r="U62" s="132"/>
      <c r="V62" s="132"/>
      <c r="W62" s="132"/>
      <c r="X62" s="132"/>
      <c r="Y62" s="145"/>
      <c r="Z62" s="145"/>
      <c r="AA62" s="145"/>
      <c r="AB62" s="145"/>
      <c r="AC62" s="145"/>
      <c r="AD62" s="145"/>
      <c r="AE62" s="145"/>
      <c r="AF62" s="145"/>
      <c r="AG62" s="145"/>
      <c r="AH62" s="145"/>
      <c r="AI62" s="145"/>
      <c r="AJ62" s="145"/>
      <c r="AK62" s="145"/>
      <c r="AL62" s="145"/>
      <c r="AM62" s="145"/>
      <c r="AN62" s="145"/>
      <c r="AU62" s="155"/>
    </row>
    <row r="63" spans="9:47" ht="14.4" customHeight="1" x14ac:dyDescent="0.25">
      <c r="I63" s="647"/>
      <c r="J63" s="645"/>
      <c r="K63" s="145" t="s">
        <v>2063</v>
      </c>
      <c r="L63" s="132" t="s">
        <v>2099</v>
      </c>
      <c r="M63" s="145" t="s">
        <v>2100</v>
      </c>
      <c r="N63" s="145" t="s">
        <v>2101</v>
      </c>
      <c r="O63" s="132" t="s">
        <v>2102</v>
      </c>
      <c r="P63" s="132"/>
      <c r="Q63" s="132"/>
      <c r="R63" s="132"/>
      <c r="S63" s="132"/>
      <c r="T63" s="132"/>
      <c r="U63" s="132"/>
      <c r="V63" s="132"/>
      <c r="W63" s="132"/>
      <c r="X63" s="132"/>
      <c r="Y63" s="145"/>
      <c r="Z63" s="145"/>
      <c r="AA63" s="145"/>
      <c r="AB63" s="145"/>
      <c r="AC63" s="145"/>
      <c r="AD63" s="145"/>
      <c r="AE63" s="145"/>
      <c r="AF63" s="145"/>
      <c r="AG63" s="145"/>
      <c r="AH63" s="145"/>
      <c r="AI63" s="145"/>
      <c r="AJ63" s="145"/>
      <c r="AK63" s="145"/>
      <c r="AL63" s="145"/>
      <c r="AM63" s="145"/>
      <c r="AN63" s="145"/>
      <c r="AU63" s="155"/>
    </row>
    <row r="64" spans="9:47" ht="14.4" customHeight="1" x14ac:dyDescent="0.25">
      <c r="I64" s="647">
        <v>6</v>
      </c>
      <c r="J64" s="645" t="s">
        <v>2033</v>
      </c>
      <c r="K64" s="132" t="s">
        <v>2103</v>
      </c>
      <c r="L64" s="132" t="s">
        <v>2104</v>
      </c>
      <c r="M64" s="145" t="s">
        <v>2105</v>
      </c>
      <c r="N64" s="145" t="s">
        <v>2106</v>
      </c>
      <c r="O64" s="132" t="s">
        <v>2107</v>
      </c>
      <c r="P64" s="132" t="s">
        <v>2108</v>
      </c>
      <c r="Q64" s="132" t="s">
        <v>2109</v>
      </c>
      <c r="R64" s="132" t="s">
        <v>2110</v>
      </c>
      <c r="S64" s="132" t="s">
        <v>2111</v>
      </c>
      <c r="T64" s="132"/>
      <c r="U64" s="132"/>
      <c r="V64" s="132"/>
      <c r="W64" s="145"/>
      <c r="X64" s="145"/>
      <c r="Y64" s="145"/>
      <c r="Z64" s="145"/>
      <c r="AA64" s="145"/>
      <c r="AB64" s="145"/>
      <c r="AC64" s="145"/>
      <c r="AD64" s="145"/>
      <c r="AE64" s="145"/>
      <c r="AF64" s="145"/>
      <c r="AG64" s="145"/>
      <c r="AH64" s="145"/>
      <c r="AI64" s="145"/>
      <c r="AJ64" s="145"/>
      <c r="AK64" s="145"/>
      <c r="AL64" s="145"/>
      <c r="AM64" s="145"/>
      <c r="AN64" s="145"/>
      <c r="AU64" s="155"/>
    </row>
    <row r="65" spans="9:47" ht="14.4" customHeight="1" x14ac:dyDescent="0.25">
      <c r="I65" s="647"/>
      <c r="J65" s="645"/>
      <c r="K65" s="132" t="s">
        <v>2112</v>
      </c>
      <c r="L65" s="132" t="s">
        <v>2113</v>
      </c>
      <c r="M65" s="145" t="s">
        <v>2114</v>
      </c>
      <c r="N65" s="145" t="s">
        <v>2115</v>
      </c>
      <c r="O65" s="132" t="s">
        <v>2116</v>
      </c>
      <c r="P65" s="132" t="s">
        <v>2117</v>
      </c>
      <c r="Q65" s="132" t="s">
        <v>2118</v>
      </c>
      <c r="R65" s="132" t="s">
        <v>2119</v>
      </c>
      <c r="S65" s="132" t="s">
        <v>2120</v>
      </c>
      <c r="T65" s="132"/>
      <c r="U65" s="132"/>
      <c r="V65" s="132"/>
      <c r="W65" s="145"/>
      <c r="X65" s="145"/>
      <c r="Y65" s="145"/>
      <c r="Z65" s="145"/>
      <c r="AA65" s="145"/>
      <c r="AB65" s="145"/>
      <c r="AC65" s="145"/>
      <c r="AD65" s="145"/>
      <c r="AE65" s="145"/>
      <c r="AF65" s="145"/>
      <c r="AG65" s="145"/>
      <c r="AH65" s="145"/>
      <c r="AI65" s="145"/>
      <c r="AJ65" s="145"/>
      <c r="AK65" s="145"/>
      <c r="AL65" s="145"/>
      <c r="AM65" s="145"/>
      <c r="AN65" s="145"/>
      <c r="AU65" s="155"/>
    </row>
    <row r="66" spans="9:47" ht="14.4" customHeight="1" x14ac:dyDescent="0.25">
      <c r="I66" s="647">
        <v>7</v>
      </c>
      <c r="J66" s="645" t="s">
        <v>2042</v>
      </c>
      <c r="K66" s="132" t="s">
        <v>2121</v>
      </c>
      <c r="L66" s="132" t="s">
        <v>2122</v>
      </c>
      <c r="M66" s="132" t="s">
        <v>581</v>
      </c>
      <c r="N66" s="132" t="s">
        <v>2123</v>
      </c>
      <c r="O66" s="145"/>
      <c r="P66" s="145"/>
      <c r="Q66" s="145"/>
      <c r="R66" s="145"/>
      <c r="S66" s="145"/>
      <c r="T66" s="145"/>
      <c r="U66" s="132"/>
      <c r="V66" s="132"/>
      <c r="W66" s="132"/>
      <c r="X66" s="132"/>
      <c r="Y66" s="132"/>
      <c r="Z66" s="132"/>
      <c r="AA66" s="132"/>
      <c r="AB66" s="145"/>
      <c r="AC66" s="145"/>
      <c r="AD66" s="145"/>
      <c r="AE66" s="145"/>
      <c r="AF66" s="145"/>
      <c r="AG66" s="145"/>
      <c r="AH66" s="145"/>
      <c r="AI66" s="145"/>
      <c r="AJ66" s="145"/>
      <c r="AK66" s="145"/>
      <c r="AL66" s="145"/>
      <c r="AM66" s="145"/>
      <c r="AN66" s="145"/>
      <c r="AU66" s="155"/>
    </row>
    <row r="67" spans="9:47" ht="14.4" customHeight="1" x14ac:dyDescent="0.25">
      <c r="I67" s="647"/>
      <c r="J67" s="645"/>
      <c r="K67" s="132" t="s">
        <v>2124</v>
      </c>
      <c r="L67" s="132" t="s">
        <v>2125</v>
      </c>
      <c r="M67" s="132" t="s">
        <v>2126</v>
      </c>
      <c r="N67" s="132" t="s">
        <v>2127</v>
      </c>
      <c r="O67" s="145"/>
      <c r="P67" s="145"/>
      <c r="Q67" s="145"/>
      <c r="R67" s="145"/>
      <c r="S67" s="145"/>
      <c r="T67" s="145"/>
      <c r="U67" s="132"/>
      <c r="V67" s="132"/>
      <c r="W67" s="132"/>
      <c r="X67" s="132"/>
      <c r="Y67" s="132"/>
      <c r="Z67" s="132"/>
      <c r="AA67" s="132"/>
      <c r="AB67" s="145"/>
      <c r="AC67" s="145"/>
      <c r="AD67" s="145"/>
      <c r="AE67" s="145"/>
      <c r="AF67" s="145"/>
      <c r="AG67" s="145"/>
      <c r="AH67" s="145"/>
      <c r="AI67" s="145"/>
      <c r="AJ67" s="145"/>
      <c r="AK67" s="145"/>
      <c r="AL67" s="145"/>
      <c r="AM67" s="145"/>
      <c r="AN67" s="145"/>
      <c r="AU67" s="155"/>
    </row>
    <row r="68" spans="9:47" ht="14.4" customHeight="1" x14ac:dyDescent="0.25">
      <c r="I68" s="647">
        <v>8</v>
      </c>
      <c r="J68" s="645" t="s">
        <v>2044</v>
      </c>
      <c r="K68" s="131" t="s">
        <v>2128</v>
      </c>
      <c r="L68" s="131" t="s">
        <v>108</v>
      </c>
      <c r="M68" s="131" t="s">
        <v>2129</v>
      </c>
      <c r="N68" s="145"/>
      <c r="O68" s="145"/>
      <c r="P68" s="145"/>
      <c r="Q68" s="145"/>
      <c r="R68" s="132"/>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U68" s="155"/>
    </row>
    <row r="69" spans="9:47" ht="14.4" customHeight="1" x14ac:dyDescent="0.25">
      <c r="I69" s="647"/>
      <c r="J69" s="645"/>
      <c r="K69" s="131" t="s">
        <v>2130</v>
      </c>
      <c r="L69" s="131" t="s">
        <v>2131</v>
      </c>
      <c r="M69" s="131" t="s">
        <v>2132</v>
      </c>
      <c r="N69" s="145"/>
      <c r="O69" s="145"/>
      <c r="P69" s="145"/>
      <c r="Q69" s="145"/>
      <c r="R69" s="132"/>
      <c r="S69" s="145"/>
      <c r="T69" s="145"/>
      <c r="U69" s="145"/>
      <c r="V69" s="145"/>
      <c r="W69" s="145"/>
      <c r="X69" s="145"/>
      <c r="Y69" s="145"/>
      <c r="Z69" s="145"/>
      <c r="AA69" s="145"/>
      <c r="AB69" s="132"/>
      <c r="AC69" s="132"/>
      <c r="AD69" s="145"/>
      <c r="AE69" s="145"/>
      <c r="AF69" s="145"/>
      <c r="AG69" s="145"/>
      <c r="AH69" s="145"/>
      <c r="AI69" s="145"/>
      <c r="AJ69" s="145"/>
      <c r="AK69" s="145"/>
      <c r="AL69" s="145"/>
      <c r="AM69" s="145"/>
      <c r="AN69" s="145"/>
      <c r="AU69" s="155"/>
    </row>
    <row r="70" spans="9:47" ht="14.4" customHeight="1" x14ac:dyDescent="0.25">
      <c r="I70" s="647">
        <v>9</v>
      </c>
      <c r="J70" s="645" t="s">
        <v>2046</v>
      </c>
      <c r="K70" s="131" t="s">
        <v>2055</v>
      </c>
      <c r="L70" s="131" t="s">
        <v>2133</v>
      </c>
      <c r="M70" s="132" t="s">
        <v>2134</v>
      </c>
      <c r="N70" s="145"/>
      <c r="O70" s="145"/>
      <c r="P70" s="145"/>
      <c r="Q70" s="132"/>
      <c r="R70" s="132"/>
      <c r="S70" s="132"/>
      <c r="T70" s="132"/>
      <c r="U70" s="132"/>
      <c r="V70" s="132"/>
      <c r="W70" s="132"/>
      <c r="X70" s="132"/>
      <c r="Y70" s="145"/>
      <c r="Z70" s="145"/>
      <c r="AA70" s="145"/>
      <c r="AB70" s="145"/>
      <c r="AC70" s="145"/>
      <c r="AD70" s="145"/>
      <c r="AE70" s="145"/>
      <c r="AF70" s="145"/>
      <c r="AG70" s="145"/>
      <c r="AH70" s="145"/>
      <c r="AI70" s="145"/>
      <c r="AJ70" s="145"/>
      <c r="AK70" s="145"/>
      <c r="AL70" s="145"/>
      <c r="AM70" s="145"/>
      <c r="AN70" s="145"/>
      <c r="AU70" s="155"/>
    </row>
    <row r="71" spans="9:47" ht="14.4" customHeight="1" x14ac:dyDescent="0.25">
      <c r="I71" s="647"/>
      <c r="J71" s="645"/>
      <c r="K71" s="127" t="s">
        <v>2082</v>
      </c>
      <c r="L71" s="127" t="s">
        <v>2135</v>
      </c>
      <c r="M71" s="132" t="s">
        <v>2136</v>
      </c>
      <c r="N71" s="145"/>
      <c r="O71" s="145"/>
      <c r="P71" s="145"/>
      <c r="Q71" s="132"/>
      <c r="R71" s="132"/>
      <c r="S71" s="132"/>
      <c r="T71" s="132"/>
      <c r="U71" s="132"/>
      <c r="V71" s="132"/>
      <c r="W71" s="132"/>
      <c r="X71" s="132"/>
      <c r="Y71" s="145"/>
      <c r="Z71" s="145"/>
      <c r="AA71" s="145"/>
      <c r="AB71" s="132"/>
      <c r="AC71" s="132"/>
      <c r="AD71" s="145"/>
      <c r="AE71" s="145"/>
      <c r="AF71" s="145"/>
      <c r="AG71" s="145"/>
      <c r="AH71" s="145"/>
      <c r="AI71" s="145"/>
      <c r="AJ71" s="145"/>
      <c r="AK71" s="145"/>
      <c r="AL71" s="145"/>
      <c r="AM71" s="145"/>
      <c r="AN71" s="145"/>
      <c r="AU71" s="155"/>
    </row>
    <row r="72" spans="9:47" ht="14.4" customHeight="1" x14ac:dyDescent="0.25">
      <c r="I72" s="647">
        <v>10</v>
      </c>
      <c r="J72" s="645" t="s">
        <v>2048</v>
      </c>
      <c r="K72" s="131" t="s">
        <v>2055</v>
      </c>
      <c r="L72" s="132" t="s">
        <v>2137</v>
      </c>
      <c r="M72" s="132" t="s">
        <v>2138</v>
      </c>
      <c r="N72" s="145" t="s">
        <v>2050</v>
      </c>
      <c r="O72" s="127" t="s">
        <v>2051</v>
      </c>
      <c r="P72" s="127" t="s">
        <v>2052</v>
      </c>
      <c r="Q72" s="132"/>
      <c r="R72" s="132"/>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U72" s="155"/>
    </row>
    <row r="73" spans="9:47" ht="14.4" customHeight="1" x14ac:dyDescent="0.25">
      <c r="I73" s="647"/>
      <c r="J73" s="645"/>
      <c r="K73" s="131" t="s">
        <v>2063</v>
      </c>
      <c r="L73" s="132" t="s">
        <v>2139</v>
      </c>
      <c r="M73" s="132" t="s">
        <v>2140</v>
      </c>
      <c r="N73" s="145" t="s">
        <v>2141</v>
      </c>
      <c r="O73" s="145" t="s">
        <v>2142</v>
      </c>
      <c r="P73" s="132" t="s">
        <v>2143</v>
      </c>
      <c r="Q73" s="132"/>
      <c r="R73" s="132"/>
      <c r="S73" s="145"/>
      <c r="T73" s="145"/>
      <c r="U73" s="145"/>
      <c r="V73" s="145"/>
      <c r="W73" s="145"/>
      <c r="X73" s="145"/>
      <c r="Y73" s="145"/>
      <c r="Z73" s="145"/>
      <c r="AA73" s="145"/>
      <c r="AB73" s="132"/>
      <c r="AC73" s="132"/>
      <c r="AD73" s="145"/>
      <c r="AE73" s="145"/>
      <c r="AF73" s="145"/>
      <c r="AG73" s="145"/>
      <c r="AH73" s="145"/>
      <c r="AI73" s="145"/>
      <c r="AJ73" s="145"/>
      <c r="AK73" s="145"/>
      <c r="AL73" s="145"/>
      <c r="AM73" s="145"/>
      <c r="AN73" s="145"/>
      <c r="AU73" s="155"/>
    </row>
    <row r="74" spans="9:47" ht="14.4" customHeight="1" x14ac:dyDescent="0.25">
      <c r="I74" s="647">
        <v>11</v>
      </c>
      <c r="J74" s="645"/>
      <c r="K74" s="132"/>
      <c r="L74" s="132"/>
      <c r="M74" s="132"/>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U74" s="155"/>
    </row>
    <row r="75" spans="9:47" ht="14.4" customHeight="1" x14ac:dyDescent="0.25">
      <c r="I75" s="647"/>
      <c r="J75" s="645"/>
      <c r="K75" s="132"/>
      <c r="L75" s="132"/>
      <c r="M75" s="132"/>
      <c r="N75" s="145"/>
      <c r="O75" s="145"/>
      <c r="P75" s="145"/>
      <c r="Q75" s="145"/>
      <c r="R75" s="145"/>
      <c r="S75" s="145"/>
      <c r="T75" s="145"/>
      <c r="U75" s="145"/>
      <c r="V75" s="145"/>
      <c r="W75" s="145"/>
      <c r="X75" s="145"/>
      <c r="Y75" s="145"/>
      <c r="Z75" s="145"/>
      <c r="AA75" s="145"/>
      <c r="AB75" s="132"/>
      <c r="AC75" s="132"/>
      <c r="AD75" s="145"/>
      <c r="AE75" s="145"/>
      <c r="AF75" s="145"/>
      <c r="AG75" s="145"/>
      <c r="AH75" s="145"/>
      <c r="AI75" s="145"/>
      <c r="AJ75" s="145"/>
      <c r="AK75" s="145"/>
      <c r="AL75" s="145"/>
      <c r="AM75" s="145"/>
      <c r="AN75" s="145"/>
      <c r="AU75" s="155"/>
    </row>
    <row r="76" spans="9:47" ht="14.4" customHeight="1" x14ac:dyDescent="0.25">
      <c r="I76" s="647">
        <v>12</v>
      </c>
      <c r="J76" s="645"/>
      <c r="K76" s="132"/>
      <c r="L76" s="132"/>
      <c r="M76" s="132"/>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U76" s="155"/>
    </row>
    <row r="77" spans="9:47" ht="14.4" customHeight="1" x14ac:dyDescent="0.25">
      <c r="I77" s="647"/>
      <c r="J77" s="645"/>
      <c r="K77" s="132"/>
      <c r="L77" s="132"/>
      <c r="M77" s="132"/>
      <c r="N77" s="145"/>
      <c r="O77" s="145"/>
      <c r="P77" s="145"/>
      <c r="Q77" s="145"/>
      <c r="R77" s="145"/>
      <c r="S77" s="145"/>
      <c r="T77" s="145"/>
      <c r="U77" s="145"/>
      <c r="V77" s="145"/>
      <c r="W77" s="145"/>
      <c r="X77" s="145"/>
      <c r="Y77" s="145"/>
      <c r="Z77" s="145"/>
      <c r="AA77" s="145"/>
      <c r="AB77" s="132"/>
      <c r="AC77" s="132"/>
      <c r="AD77" s="145"/>
      <c r="AE77" s="145"/>
      <c r="AF77" s="145"/>
      <c r="AG77" s="145"/>
      <c r="AH77" s="145"/>
      <c r="AI77" s="145"/>
      <c r="AJ77" s="145"/>
      <c r="AK77" s="145"/>
      <c r="AL77" s="145"/>
      <c r="AM77" s="145"/>
      <c r="AN77" s="145"/>
      <c r="AU77" s="155"/>
    </row>
    <row r="78" spans="9:47" ht="14.4" customHeight="1" x14ac:dyDescent="0.25">
      <c r="I78" s="647">
        <v>13</v>
      </c>
      <c r="J78" s="645"/>
      <c r="K78" s="132"/>
      <c r="L78" s="132"/>
      <c r="M78" s="132"/>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U78" s="155"/>
    </row>
    <row r="79" spans="9:47" ht="14.4" customHeight="1" x14ac:dyDescent="0.25">
      <c r="I79" s="647"/>
      <c r="J79" s="645"/>
      <c r="K79" s="132"/>
      <c r="L79" s="132"/>
      <c r="M79" s="132"/>
      <c r="N79" s="145"/>
      <c r="O79" s="145"/>
      <c r="P79" s="145"/>
      <c r="Q79" s="145"/>
      <c r="R79" s="145"/>
      <c r="S79" s="145"/>
      <c r="T79" s="145"/>
      <c r="U79" s="145"/>
      <c r="V79" s="145"/>
      <c r="W79" s="145"/>
      <c r="X79" s="145"/>
      <c r="Y79" s="145"/>
      <c r="Z79" s="145"/>
      <c r="AA79" s="145"/>
      <c r="AB79" s="132"/>
      <c r="AC79" s="132"/>
      <c r="AD79" s="145"/>
      <c r="AE79" s="145"/>
      <c r="AF79" s="145"/>
      <c r="AG79" s="145"/>
      <c r="AH79" s="145"/>
      <c r="AI79" s="145"/>
      <c r="AJ79" s="145"/>
      <c r="AK79" s="145"/>
      <c r="AL79" s="145"/>
      <c r="AM79" s="145"/>
      <c r="AN79" s="145"/>
      <c r="AU79" s="155"/>
    </row>
    <row r="80" spans="9:47" ht="14.4" customHeight="1" x14ac:dyDescent="0.25">
      <c r="I80" s="647">
        <v>14</v>
      </c>
      <c r="J80" s="645"/>
      <c r="K80" s="132"/>
      <c r="L80" s="132"/>
      <c r="M80" s="132"/>
      <c r="N80" s="132"/>
      <c r="O80" s="132"/>
      <c r="P80" s="145"/>
      <c r="Q80" s="145"/>
      <c r="R80" s="145"/>
      <c r="S80" s="145"/>
      <c r="T80" s="132"/>
      <c r="U80" s="145"/>
      <c r="V80" s="145"/>
      <c r="W80" s="145"/>
      <c r="X80" s="145"/>
      <c r="Y80" s="145"/>
      <c r="Z80" s="145"/>
      <c r="AA80" s="145"/>
      <c r="AB80" s="145"/>
      <c r="AC80" s="145"/>
      <c r="AD80" s="145"/>
      <c r="AE80" s="145"/>
      <c r="AF80" s="145"/>
      <c r="AG80" s="145"/>
      <c r="AH80" s="145"/>
      <c r="AI80" s="145"/>
      <c r="AJ80" s="145"/>
      <c r="AK80" s="145"/>
      <c r="AL80" s="145"/>
      <c r="AM80" s="145"/>
      <c r="AN80" s="145"/>
      <c r="AU80" s="155"/>
    </row>
    <row r="81" spans="9:47" ht="14.4" customHeight="1" x14ac:dyDescent="0.25">
      <c r="I81" s="647"/>
      <c r="J81" s="645"/>
      <c r="K81" s="132"/>
      <c r="L81" s="132"/>
      <c r="M81" s="132"/>
      <c r="N81" s="132"/>
      <c r="O81" s="132"/>
      <c r="P81" s="145"/>
      <c r="Q81" s="145"/>
      <c r="R81" s="145"/>
      <c r="S81" s="145"/>
      <c r="T81" s="132"/>
      <c r="U81" s="145"/>
      <c r="V81" s="145"/>
      <c r="W81" s="145"/>
      <c r="X81" s="145"/>
      <c r="Y81" s="145"/>
      <c r="Z81" s="145"/>
      <c r="AA81" s="145"/>
      <c r="AB81" s="132"/>
      <c r="AC81" s="132"/>
      <c r="AD81" s="145"/>
      <c r="AE81" s="145"/>
      <c r="AF81" s="145"/>
      <c r="AG81" s="145"/>
      <c r="AH81" s="145"/>
      <c r="AI81" s="145"/>
      <c r="AJ81" s="145"/>
      <c r="AK81" s="145"/>
      <c r="AL81" s="145"/>
      <c r="AM81" s="145"/>
      <c r="AN81" s="145"/>
      <c r="AU81" s="155"/>
    </row>
    <row r="82" spans="9:47" ht="14.4" customHeight="1" x14ac:dyDescent="0.25">
      <c r="I82" s="647">
        <v>15</v>
      </c>
      <c r="J82" s="645"/>
      <c r="K82" s="132"/>
      <c r="L82" s="132"/>
      <c r="M82" s="132"/>
      <c r="N82" s="132"/>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U82" s="155"/>
    </row>
    <row r="83" spans="9:47" ht="14.4" customHeight="1" x14ac:dyDescent="0.25">
      <c r="I83" s="647"/>
      <c r="J83" s="645"/>
      <c r="K83" s="132"/>
      <c r="L83" s="132"/>
      <c r="M83" s="132"/>
      <c r="N83" s="132"/>
      <c r="O83" s="145"/>
      <c r="P83" s="145"/>
      <c r="Q83" s="145"/>
      <c r="R83" s="145"/>
      <c r="S83" s="145"/>
      <c r="T83" s="145"/>
      <c r="U83" s="145"/>
      <c r="V83" s="145"/>
      <c r="W83" s="145"/>
      <c r="X83" s="145"/>
      <c r="Y83" s="145"/>
      <c r="Z83" s="145"/>
      <c r="AA83" s="145"/>
      <c r="AB83" s="132"/>
      <c r="AC83" s="132"/>
      <c r="AD83" s="145"/>
      <c r="AE83" s="145"/>
      <c r="AF83" s="145"/>
      <c r="AG83" s="145"/>
      <c r="AH83" s="145"/>
      <c r="AI83" s="145"/>
      <c r="AJ83" s="145"/>
      <c r="AK83" s="145"/>
      <c r="AL83" s="145"/>
      <c r="AM83" s="145"/>
      <c r="AN83" s="145"/>
      <c r="AU83" s="155"/>
    </row>
    <row r="84" spans="9:47" ht="14.4" customHeight="1" x14ac:dyDescent="0.25">
      <c r="I84" s="647">
        <v>16</v>
      </c>
      <c r="J84" s="645"/>
      <c r="K84" s="132"/>
      <c r="L84" s="132"/>
      <c r="M84" s="132"/>
      <c r="N84" s="132"/>
      <c r="O84" s="132"/>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U84" s="155"/>
    </row>
    <row r="85" spans="9:47" ht="14.4" customHeight="1" x14ac:dyDescent="0.25">
      <c r="I85" s="647"/>
      <c r="J85" s="645"/>
      <c r="K85" s="132"/>
      <c r="L85" s="132"/>
      <c r="M85" s="132"/>
      <c r="N85" s="132"/>
      <c r="O85" s="132"/>
      <c r="P85" s="145"/>
      <c r="Q85" s="145"/>
      <c r="R85" s="145"/>
      <c r="S85" s="145"/>
      <c r="T85" s="145"/>
      <c r="U85" s="145"/>
      <c r="V85" s="145"/>
      <c r="W85" s="145"/>
      <c r="X85" s="145"/>
      <c r="Y85" s="145"/>
      <c r="Z85" s="145"/>
      <c r="AA85" s="145"/>
      <c r="AB85" s="132"/>
      <c r="AC85" s="132"/>
      <c r="AD85" s="132"/>
      <c r="AE85" s="132"/>
      <c r="AF85" s="145"/>
      <c r="AG85" s="145"/>
      <c r="AH85" s="145"/>
      <c r="AI85" s="145"/>
      <c r="AJ85" s="145"/>
      <c r="AK85" s="145"/>
      <c r="AL85" s="145"/>
      <c r="AM85" s="145"/>
      <c r="AN85" s="145"/>
      <c r="AU85" s="155"/>
    </row>
    <row r="86" spans="9:47" ht="14.4" customHeight="1" x14ac:dyDescent="0.25">
      <c r="I86" s="647">
        <v>17</v>
      </c>
      <c r="J86" s="645"/>
      <c r="K86" s="132"/>
      <c r="L86" s="145"/>
      <c r="M86" s="132"/>
      <c r="N86" s="132"/>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U86" s="155"/>
    </row>
    <row r="87" spans="9:47" ht="14.4" customHeight="1" x14ac:dyDescent="0.25">
      <c r="I87" s="647"/>
      <c r="J87" s="645"/>
      <c r="K87" s="132"/>
      <c r="L87" s="132"/>
      <c r="M87" s="132"/>
      <c r="N87" s="132"/>
      <c r="O87" s="145"/>
      <c r="P87" s="145"/>
      <c r="Q87" s="145"/>
      <c r="R87" s="145"/>
      <c r="S87" s="145"/>
      <c r="T87" s="145"/>
      <c r="U87" s="145"/>
      <c r="V87" s="145"/>
      <c r="W87" s="145"/>
      <c r="X87" s="145"/>
      <c r="Y87" s="145"/>
      <c r="Z87" s="145"/>
      <c r="AA87" s="145"/>
      <c r="AB87" s="132"/>
      <c r="AC87" s="132"/>
      <c r="AD87" s="132"/>
      <c r="AE87" s="132"/>
      <c r="AF87" s="145"/>
      <c r="AG87" s="145"/>
      <c r="AH87" s="145"/>
      <c r="AI87" s="145"/>
      <c r="AJ87" s="145"/>
      <c r="AK87" s="145"/>
      <c r="AL87" s="145"/>
      <c r="AM87" s="145"/>
      <c r="AN87" s="145"/>
      <c r="AU87" s="155"/>
    </row>
    <row r="88" spans="9:47" ht="14.4" customHeight="1" x14ac:dyDescent="0.25">
      <c r="I88" s="647">
        <v>18</v>
      </c>
      <c r="J88" s="645"/>
      <c r="K88" s="132"/>
      <c r="L88" s="145"/>
      <c r="M88" s="132"/>
      <c r="N88" s="132"/>
      <c r="O88" s="132"/>
      <c r="P88" s="132"/>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U88" s="155"/>
    </row>
    <row r="89" spans="9:47" ht="14.4" customHeight="1" x14ac:dyDescent="0.25">
      <c r="I89" s="647"/>
      <c r="J89" s="645"/>
      <c r="K89" s="132"/>
      <c r="L89" s="132"/>
      <c r="M89" s="132"/>
      <c r="N89" s="132"/>
      <c r="O89" s="132"/>
      <c r="P89" s="132"/>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U89" s="155"/>
    </row>
    <row r="90" spans="9:47" ht="14.4" customHeight="1" x14ac:dyDescent="0.25">
      <c r="I90" s="647">
        <v>19</v>
      </c>
      <c r="J90" s="645"/>
      <c r="K90" s="132"/>
      <c r="L90" s="145"/>
      <c r="M90" s="132"/>
      <c r="N90" s="132"/>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U90" s="155"/>
    </row>
    <row r="91" spans="9:47" ht="14.4" customHeight="1" x14ac:dyDescent="0.25">
      <c r="I91" s="647"/>
      <c r="J91" s="645"/>
      <c r="K91" s="132"/>
      <c r="L91" s="132"/>
      <c r="M91" s="132"/>
      <c r="N91" s="132"/>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U91" s="155"/>
    </row>
    <row r="92" spans="9:47" ht="14.4" customHeight="1" x14ac:dyDescent="0.25">
      <c r="I92" s="647">
        <v>20</v>
      </c>
      <c r="J92" s="645"/>
      <c r="K92" s="132"/>
      <c r="L92" s="132"/>
      <c r="M92" s="132"/>
      <c r="N92" s="132"/>
      <c r="O92" s="132"/>
      <c r="P92" s="145"/>
      <c r="Q92" s="145"/>
      <c r="R92" s="145"/>
      <c r="S92" s="145"/>
      <c r="T92" s="145"/>
      <c r="U92" s="145"/>
      <c r="V92" s="145"/>
      <c r="W92" s="145"/>
      <c r="X92" s="145"/>
      <c r="Y92" s="145"/>
      <c r="Z92" s="145"/>
      <c r="AA92" s="145"/>
      <c r="AB92" s="145"/>
      <c r="AC92" s="145"/>
      <c r="AD92" s="145"/>
      <c r="AE92" s="145"/>
      <c r="AF92" s="145"/>
      <c r="AG92" s="145"/>
      <c r="AH92" s="145"/>
      <c r="AI92" s="145"/>
      <c r="AJ92" s="145"/>
      <c r="AK92" s="145"/>
      <c r="AL92" s="145"/>
      <c r="AM92" s="145"/>
      <c r="AN92" s="145"/>
      <c r="AU92" s="155"/>
    </row>
    <row r="93" spans="9:47" ht="14.4" customHeight="1" x14ac:dyDescent="0.25">
      <c r="I93" s="647"/>
      <c r="J93" s="645"/>
      <c r="K93" s="132"/>
      <c r="L93" s="132"/>
      <c r="M93" s="132"/>
      <c r="N93" s="132"/>
      <c r="O93" s="132"/>
      <c r="P93" s="145"/>
      <c r="Q93" s="145"/>
      <c r="R93" s="145"/>
      <c r="S93" s="145"/>
      <c r="T93" s="145"/>
      <c r="U93" s="145"/>
      <c r="V93" s="145"/>
      <c r="W93" s="145"/>
      <c r="X93" s="145"/>
      <c r="Y93" s="145"/>
      <c r="Z93" s="145"/>
      <c r="AA93" s="145"/>
      <c r="AB93" s="132"/>
      <c r="AC93" s="132"/>
      <c r="AD93" s="132"/>
      <c r="AE93" s="132"/>
      <c r="AF93" s="145"/>
      <c r="AG93" s="145"/>
      <c r="AH93" s="145"/>
      <c r="AI93" s="145"/>
      <c r="AJ93" s="145"/>
      <c r="AK93" s="145"/>
      <c r="AL93" s="145"/>
      <c r="AM93" s="145"/>
      <c r="AN93" s="145"/>
      <c r="AU93" s="155"/>
    </row>
    <row r="94" spans="9:47" ht="14.4" customHeight="1" x14ac:dyDescent="0.25">
      <c r="I94" s="647">
        <v>21</v>
      </c>
      <c r="J94" s="645"/>
      <c r="K94" s="132"/>
      <c r="L94" s="132"/>
      <c r="M94" s="132"/>
      <c r="N94" s="132"/>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U94" s="155"/>
    </row>
    <row r="95" spans="9:47" ht="14.4" customHeight="1" x14ac:dyDescent="0.25">
      <c r="I95" s="647"/>
      <c r="J95" s="645"/>
      <c r="K95" s="132"/>
      <c r="L95" s="132"/>
      <c r="M95" s="132"/>
      <c r="N95" s="132"/>
      <c r="O95" s="145"/>
      <c r="P95" s="145"/>
      <c r="Q95" s="145"/>
      <c r="R95" s="145"/>
      <c r="S95" s="145"/>
      <c r="T95" s="145"/>
      <c r="U95" s="145"/>
      <c r="V95" s="145"/>
      <c r="W95" s="145"/>
      <c r="X95" s="145"/>
      <c r="Y95" s="145"/>
      <c r="Z95" s="145"/>
      <c r="AA95" s="145"/>
      <c r="AB95" s="132"/>
      <c r="AC95" s="132"/>
      <c r="AD95" s="132"/>
      <c r="AE95" s="132"/>
      <c r="AF95" s="145"/>
      <c r="AG95" s="145"/>
      <c r="AH95" s="145"/>
      <c r="AI95" s="145"/>
      <c r="AJ95" s="145"/>
      <c r="AK95" s="145"/>
      <c r="AL95" s="145"/>
      <c r="AM95" s="145"/>
      <c r="AN95" s="145"/>
      <c r="AU95" s="155"/>
    </row>
    <row r="96" spans="9:47" ht="14.4" customHeight="1" x14ac:dyDescent="0.25">
      <c r="I96" s="647">
        <v>22</v>
      </c>
      <c r="J96" s="645"/>
      <c r="K96" s="132"/>
      <c r="L96" s="132"/>
      <c r="M96" s="132"/>
      <c r="N96" s="132"/>
      <c r="O96" s="145"/>
      <c r="P96" s="145"/>
      <c r="Q96" s="145"/>
      <c r="R96" s="145"/>
      <c r="S96" s="145"/>
      <c r="T96" s="145"/>
      <c r="U96" s="145"/>
      <c r="V96" s="145"/>
      <c r="W96" s="145"/>
      <c r="X96" s="145"/>
      <c r="Y96" s="145"/>
      <c r="Z96" s="145"/>
      <c r="AA96" s="145"/>
      <c r="AB96" s="145"/>
      <c r="AC96" s="145"/>
      <c r="AD96" s="145"/>
      <c r="AE96" s="145"/>
      <c r="AF96" s="145"/>
      <c r="AG96" s="145"/>
      <c r="AH96" s="145"/>
      <c r="AI96" s="145"/>
      <c r="AJ96" s="145"/>
      <c r="AK96" s="145"/>
      <c r="AL96" s="145"/>
      <c r="AM96" s="145"/>
      <c r="AN96" s="145"/>
      <c r="AU96" s="155"/>
    </row>
    <row r="97" spans="9:47" ht="14.4" customHeight="1" x14ac:dyDescent="0.25">
      <c r="I97" s="647"/>
      <c r="J97" s="645"/>
      <c r="K97" s="132"/>
      <c r="L97" s="132"/>
      <c r="M97" s="132"/>
      <c r="N97" s="145"/>
      <c r="O97" s="132"/>
      <c r="P97" s="145"/>
      <c r="Q97" s="145"/>
      <c r="R97" s="145"/>
      <c r="S97" s="145"/>
      <c r="T97" s="145"/>
      <c r="U97" s="145"/>
      <c r="V97" s="145"/>
      <c r="W97" s="145"/>
      <c r="X97" s="145"/>
      <c r="Y97" s="132"/>
      <c r="Z97" s="132"/>
      <c r="AA97" s="145"/>
      <c r="AB97" s="132"/>
      <c r="AC97" s="132"/>
      <c r="AD97" s="132"/>
      <c r="AE97" s="132"/>
      <c r="AF97" s="145"/>
      <c r="AG97" s="145"/>
      <c r="AH97" s="145"/>
      <c r="AI97" s="145"/>
      <c r="AJ97" s="145"/>
      <c r="AK97" s="145"/>
      <c r="AL97" s="145"/>
      <c r="AM97" s="145"/>
      <c r="AN97" s="145"/>
      <c r="AU97" s="155"/>
    </row>
    <row r="98" spans="9:47" ht="14.4" customHeight="1" x14ac:dyDescent="0.25">
      <c r="I98" s="647">
        <v>23</v>
      </c>
      <c r="J98" s="645"/>
      <c r="K98" s="145"/>
      <c r="L98" s="132"/>
      <c r="M98" s="132"/>
      <c r="N98" s="132"/>
      <c r="O98" s="132"/>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U98" s="155"/>
    </row>
    <row r="99" spans="9:47" ht="14.4" customHeight="1" x14ac:dyDescent="0.25">
      <c r="I99" s="647"/>
      <c r="J99" s="645"/>
      <c r="K99" s="132"/>
      <c r="L99" s="132"/>
      <c r="M99" s="132"/>
      <c r="N99" s="132"/>
      <c r="O99" s="132"/>
      <c r="P99" s="145"/>
      <c r="Q99" s="145"/>
      <c r="R99" s="145"/>
      <c r="S99" s="145"/>
      <c r="T99" s="145"/>
      <c r="U99" s="145"/>
      <c r="V99" s="145"/>
      <c r="W99" s="145"/>
      <c r="X99" s="132"/>
      <c r="Y99" s="132"/>
      <c r="Z99" s="132"/>
      <c r="AA99" s="145"/>
      <c r="AB99" s="132"/>
      <c r="AC99" s="132"/>
      <c r="AD99" s="132"/>
      <c r="AE99" s="132"/>
      <c r="AF99" s="145"/>
      <c r="AG99" s="145"/>
      <c r="AH99" s="145"/>
      <c r="AI99" s="145"/>
      <c r="AJ99" s="145"/>
      <c r="AK99" s="145"/>
      <c r="AL99" s="145"/>
      <c r="AM99" s="145"/>
      <c r="AN99" s="145"/>
      <c r="AU99" s="155"/>
    </row>
    <row r="100" spans="9:47" ht="14.4" customHeight="1" x14ac:dyDescent="0.25">
      <c r="I100" s="647">
        <v>24</v>
      </c>
      <c r="J100" s="645"/>
      <c r="K100" s="132"/>
      <c r="L100" s="132"/>
      <c r="M100" s="132"/>
      <c r="N100" s="132"/>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U100" s="155"/>
    </row>
    <row r="101" spans="9:47" ht="14.4" customHeight="1" x14ac:dyDescent="0.25">
      <c r="I101" s="647"/>
      <c r="J101" s="645"/>
      <c r="K101" s="132"/>
      <c r="L101" s="132"/>
      <c r="M101" s="132"/>
      <c r="N101" s="132"/>
      <c r="O101" s="145"/>
      <c r="P101" s="145"/>
      <c r="Q101" s="145"/>
      <c r="R101" s="145"/>
      <c r="S101" s="145"/>
      <c r="T101" s="145"/>
      <c r="U101" s="145"/>
      <c r="V101" s="145"/>
      <c r="W101" s="145"/>
      <c r="X101" s="132"/>
      <c r="Y101" s="132"/>
      <c r="Z101" s="132"/>
      <c r="AA101" s="145"/>
      <c r="AB101" s="132"/>
      <c r="AC101" s="132"/>
      <c r="AD101" s="132"/>
      <c r="AE101" s="132"/>
      <c r="AF101" s="145"/>
      <c r="AG101" s="145"/>
      <c r="AH101" s="145"/>
      <c r="AI101" s="145"/>
      <c r="AJ101" s="145"/>
      <c r="AK101" s="145"/>
      <c r="AL101" s="145"/>
      <c r="AM101" s="145"/>
      <c r="AN101" s="145"/>
      <c r="AU101" s="155"/>
    </row>
    <row r="102" spans="9:47" ht="14.4" customHeight="1" x14ac:dyDescent="0.25">
      <c r="I102" s="647">
        <v>25</v>
      </c>
      <c r="J102" s="645"/>
      <c r="K102" s="132"/>
      <c r="L102" s="132"/>
      <c r="M102" s="132"/>
      <c r="N102" s="132"/>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5"/>
      <c r="AU102" s="155"/>
    </row>
    <row r="103" spans="9:47" ht="14.4" customHeight="1" x14ac:dyDescent="0.25">
      <c r="I103" s="647"/>
      <c r="J103" s="645"/>
      <c r="K103" s="132"/>
      <c r="L103" s="132"/>
      <c r="M103" s="132"/>
      <c r="N103" s="145"/>
      <c r="O103" s="145"/>
      <c r="P103" s="145"/>
      <c r="Q103" s="145"/>
      <c r="R103" s="145"/>
      <c r="S103" s="145"/>
      <c r="T103" s="145"/>
      <c r="U103" s="145"/>
      <c r="V103" s="145"/>
      <c r="W103" s="145"/>
      <c r="X103" s="132"/>
      <c r="Y103" s="132"/>
      <c r="Z103" s="132"/>
      <c r="AA103" s="145"/>
      <c r="AB103" s="132"/>
      <c r="AC103" s="132"/>
      <c r="AD103" s="132"/>
      <c r="AE103" s="132"/>
      <c r="AF103" s="145"/>
      <c r="AG103" s="145"/>
      <c r="AH103" s="145"/>
      <c r="AI103" s="145"/>
      <c r="AJ103" s="145"/>
      <c r="AK103" s="145"/>
      <c r="AL103" s="145"/>
      <c r="AM103" s="145"/>
      <c r="AN103" s="145"/>
      <c r="AU103" s="155"/>
    </row>
    <row r="104" spans="9:47" ht="14.4" customHeight="1" x14ac:dyDescent="0.25">
      <c r="I104" s="647">
        <v>26</v>
      </c>
      <c r="J104" s="645"/>
      <c r="K104" s="132"/>
      <c r="L104" s="132"/>
      <c r="M104" s="132"/>
      <c r="N104" s="132"/>
      <c r="O104" s="132"/>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U104" s="155"/>
    </row>
    <row r="105" spans="9:47" ht="14.4" customHeight="1" x14ac:dyDescent="0.25">
      <c r="I105" s="647"/>
      <c r="J105" s="645"/>
      <c r="K105" s="132"/>
      <c r="L105" s="132"/>
      <c r="M105" s="132"/>
      <c r="N105" s="132"/>
      <c r="O105" s="132"/>
      <c r="P105" s="145"/>
      <c r="Q105" s="145"/>
      <c r="R105" s="145"/>
      <c r="S105" s="145"/>
      <c r="T105" s="145"/>
      <c r="U105" s="145"/>
      <c r="V105" s="145"/>
      <c r="W105" s="145"/>
      <c r="X105" s="132"/>
      <c r="Y105" s="132"/>
      <c r="Z105" s="132"/>
      <c r="AA105" s="145"/>
      <c r="AB105" s="145"/>
      <c r="AC105" s="132"/>
      <c r="AD105" s="132"/>
      <c r="AE105" s="132"/>
      <c r="AF105" s="145"/>
      <c r="AG105" s="145"/>
      <c r="AH105" s="145"/>
      <c r="AI105" s="145"/>
      <c r="AJ105" s="145"/>
      <c r="AK105" s="145"/>
      <c r="AL105" s="145"/>
      <c r="AM105" s="145"/>
      <c r="AN105" s="145"/>
      <c r="AU105" s="155"/>
    </row>
    <row r="106" spans="9:47" ht="14.4" customHeight="1" x14ac:dyDescent="0.25">
      <c r="I106" s="647">
        <v>27</v>
      </c>
      <c r="J106" s="645"/>
      <c r="K106" s="132"/>
      <c r="L106" s="132"/>
      <c r="M106" s="132"/>
      <c r="N106" s="132"/>
      <c r="O106" s="132"/>
      <c r="P106" s="132"/>
      <c r="Q106" s="132"/>
      <c r="R106" s="132"/>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U106" s="155"/>
    </row>
    <row r="107" spans="9:47" ht="14.4" customHeight="1" x14ac:dyDescent="0.25">
      <c r="I107" s="647"/>
      <c r="J107" s="645"/>
      <c r="K107" s="132"/>
      <c r="L107" s="132"/>
      <c r="M107" s="132"/>
      <c r="N107" s="132"/>
      <c r="O107" s="132"/>
      <c r="P107" s="132"/>
      <c r="Q107" s="132"/>
      <c r="R107" s="132"/>
      <c r="S107" s="145"/>
      <c r="T107" s="145"/>
      <c r="U107" s="145"/>
      <c r="V107" s="145"/>
      <c r="W107" s="145"/>
      <c r="X107" s="132"/>
      <c r="Y107" s="132"/>
      <c r="Z107" s="132"/>
      <c r="AA107" s="145"/>
      <c r="AB107" s="145"/>
      <c r="AC107" s="132"/>
      <c r="AD107" s="132"/>
      <c r="AE107" s="132"/>
      <c r="AF107" s="145"/>
      <c r="AG107" s="145"/>
      <c r="AH107" s="145"/>
      <c r="AI107" s="145"/>
      <c r="AJ107" s="145"/>
      <c r="AK107" s="145"/>
      <c r="AL107" s="145"/>
      <c r="AM107" s="145"/>
      <c r="AN107" s="145"/>
      <c r="AU107" s="155"/>
    </row>
    <row r="108" spans="9:47" ht="14.4" customHeight="1" x14ac:dyDescent="0.25">
      <c r="I108" s="647">
        <v>28</v>
      </c>
      <c r="J108" s="645"/>
      <c r="K108" s="132"/>
      <c r="L108" s="132"/>
      <c r="M108" s="132"/>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U108" s="155"/>
    </row>
    <row r="109" spans="9:47" ht="14.4" customHeight="1" x14ac:dyDescent="0.25">
      <c r="I109" s="647"/>
      <c r="J109" s="645"/>
      <c r="K109" s="132"/>
      <c r="L109" s="132"/>
      <c r="M109" s="132"/>
      <c r="N109" s="145"/>
      <c r="O109" s="145"/>
      <c r="P109" s="145"/>
      <c r="Q109" s="145"/>
      <c r="R109" s="145"/>
      <c r="S109" s="145"/>
      <c r="T109" s="145"/>
      <c r="U109" s="145"/>
      <c r="V109" s="145"/>
      <c r="W109" s="145"/>
      <c r="X109" s="132"/>
      <c r="Y109" s="132"/>
      <c r="Z109" s="132"/>
      <c r="AA109" s="145"/>
      <c r="AB109" s="145"/>
      <c r="AC109" s="132"/>
      <c r="AD109" s="132"/>
      <c r="AE109" s="132"/>
      <c r="AF109" s="145"/>
      <c r="AG109" s="145"/>
      <c r="AH109" s="145"/>
      <c r="AI109" s="145"/>
      <c r="AJ109" s="145"/>
      <c r="AK109" s="145"/>
      <c r="AL109" s="145"/>
      <c r="AM109" s="145"/>
      <c r="AN109" s="145"/>
      <c r="AU109" s="155"/>
    </row>
    <row r="110" spans="9:47" ht="14.4" customHeight="1" x14ac:dyDescent="0.25">
      <c r="I110" s="647">
        <v>29</v>
      </c>
      <c r="J110" s="645"/>
      <c r="K110" s="132"/>
      <c r="L110" s="132"/>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U110" s="155"/>
    </row>
    <row r="111" spans="9:47" ht="14.4" customHeight="1" x14ac:dyDescent="0.25">
      <c r="I111" s="647"/>
      <c r="J111" s="645"/>
      <c r="K111" s="132"/>
      <c r="L111" s="132"/>
      <c r="M111" s="145"/>
      <c r="N111" s="145"/>
      <c r="O111" s="145"/>
      <c r="P111" s="145"/>
      <c r="Q111" s="145"/>
      <c r="R111" s="145"/>
      <c r="S111" s="145"/>
      <c r="T111" s="145"/>
      <c r="U111" s="145"/>
      <c r="V111" s="145"/>
      <c r="W111" s="145"/>
      <c r="X111" s="145"/>
      <c r="Y111" s="145"/>
      <c r="Z111" s="145"/>
      <c r="AA111" s="145"/>
      <c r="AB111" s="145"/>
      <c r="AC111" s="145"/>
      <c r="AD111" s="132"/>
      <c r="AE111" s="132"/>
      <c r="AF111" s="145"/>
      <c r="AG111" s="145"/>
      <c r="AH111" s="145"/>
      <c r="AI111" s="145"/>
      <c r="AJ111" s="145"/>
      <c r="AK111" s="145"/>
      <c r="AL111" s="145"/>
      <c r="AM111" s="145"/>
      <c r="AN111" s="145"/>
      <c r="AU111" s="155"/>
    </row>
    <row r="112" spans="9:47" ht="14.4" customHeight="1" x14ac:dyDescent="0.25">
      <c r="I112" s="647">
        <v>30</v>
      </c>
      <c r="J112" s="645"/>
      <c r="K112" s="132"/>
      <c r="L112" s="132"/>
      <c r="M112" s="132"/>
      <c r="N112" s="132"/>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32"/>
      <c r="AK112" s="145"/>
      <c r="AL112" s="145"/>
      <c r="AM112" s="145"/>
      <c r="AN112" s="145"/>
      <c r="AU112" s="155"/>
    </row>
    <row r="113" spans="9:47" ht="14.4" customHeight="1" x14ac:dyDescent="0.25">
      <c r="I113" s="647"/>
      <c r="J113" s="645"/>
      <c r="K113" s="132"/>
      <c r="L113" s="132"/>
      <c r="M113" s="132"/>
      <c r="N113" s="132"/>
      <c r="O113" s="145"/>
      <c r="P113" s="145"/>
      <c r="Q113" s="145"/>
      <c r="R113" s="145"/>
      <c r="S113" s="145"/>
      <c r="T113" s="145"/>
      <c r="U113" s="145"/>
      <c r="V113" s="145"/>
      <c r="W113" s="145"/>
      <c r="X113" s="132"/>
      <c r="Y113" s="132"/>
      <c r="Z113" s="132"/>
      <c r="AA113" s="145"/>
      <c r="AB113" s="145"/>
      <c r="AC113" s="132"/>
      <c r="AD113" s="132"/>
      <c r="AE113" s="132"/>
      <c r="AF113" s="145"/>
      <c r="AG113" s="145"/>
      <c r="AH113" s="145"/>
      <c r="AI113" s="145"/>
      <c r="AJ113" s="145"/>
      <c r="AK113" s="145"/>
      <c r="AL113" s="132"/>
      <c r="AM113" s="132"/>
      <c r="AN113" s="132"/>
      <c r="AU113" s="155"/>
    </row>
    <row r="114" spans="9:47" ht="14.4" customHeight="1" x14ac:dyDescent="0.25">
      <c r="I114" s="647">
        <v>31</v>
      </c>
      <c r="J114" s="645"/>
      <c r="K114" s="132"/>
      <c r="L114" s="145"/>
      <c r="M114" s="132"/>
      <c r="N114" s="132"/>
      <c r="O114" s="132"/>
      <c r="P114" s="132"/>
      <c r="Q114" s="132"/>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U114" s="155"/>
    </row>
    <row r="115" spans="9:47" ht="14.4" customHeight="1" x14ac:dyDescent="0.25">
      <c r="I115" s="647"/>
      <c r="J115" s="645"/>
      <c r="K115" s="132"/>
      <c r="L115" s="132"/>
      <c r="M115" s="132"/>
      <c r="N115" s="132"/>
      <c r="O115" s="132"/>
      <c r="P115" s="132"/>
      <c r="Q115" s="132"/>
      <c r="R115" s="145"/>
      <c r="S115" s="145"/>
      <c r="T115" s="145"/>
      <c r="U115" s="145"/>
      <c r="V115" s="145"/>
      <c r="W115" s="145"/>
      <c r="X115" s="132"/>
      <c r="Y115" s="132"/>
      <c r="Z115" s="132"/>
      <c r="AA115" s="145"/>
      <c r="AB115" s="145"/>
      <c r="AC115" s="132"/>
      <c r="AD115" s="132"/>
      <c r="AE115" s="132"/>
      <c r="AF115" s="145"/>
      <c r="AG115" s="145"/>
      <c r="AH115" s="145"/>
      <c r="AI115" s="145"/>
      <c r="AJ115" s="145"/>
      <c r="AK115" s="145"/>
      <c r="AL115" s="132"/>
      <c r="AM115" s="132"/>
      <c r="AN115" s="132"/>
      <c r="AU115" s="155"/>
    </row>
    <row r="116" spans="9:47" ht="14.4" customHeight="1" x14ac:dyDescent="0.25">
      <c r="I116" s="647">
        <v>32</v>
      </c>
      <c r="J116" s="645"/>
      <c r="K116" s="132"/>
      <c r="L116" s="132"/>
      <c r="M116" s="132"/>
      <c r="N116" s="132"/>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U116" s="155"/>
    </row>
    <row r="117" spans="9:47" ht="14.4" customHeight="1" x14ac:dyDescent="0.25">
      <c r="I117" s="647"/>
      <c r="J117" s="645"/>
      <c r="K117" s="132"/>
      <c r="L117" s="132"/>
      <c r="M117" s="132"/>
      <c r="N117" s="132"/>
      <c r="O117" s="145"/>
      <c r="P117" s="145"/>
      <c r="Q117" s="145"/>
      <c r="R117" s="145"/>
      <c r="S117" s="145"/>
      <c r="T117" s="145"/>
      <c r="U117" s="145"/>
      <c r="V117" s="145"/>
      <c r="W117" s="145"/>
      <c r="X117" s="145"/>
      <c r="Y117" s="132"/>
      <c r="Z117" s="132"/>
      <c r="AA117" s="145"/>
      <c r="AB117" s="145"/>
      <c r="AC117" s="132"/>
      <c r="AD117" s="132"/>
      <c r="AE117" s="132"/>
      <c r="AF117" s="145"/>
      <c r="AG117" s="145"/>
      <c r="AH117" s="145"/>
      <c r="AI117" s="145"/>
      <c r="AJ117" s="145"/>
      <c r="AK117" s="145"/>
      <c r="AL117" s="132"/>
      <c r="AM117" s="132"/>
      <c r="AN117" s="132"/>
      <c r="AU117" s="155"/>
    </row>
    <row r="118" spans="9:47" ht="14.4" customHeight="1" x14ac:dyDescent="0.25">
      <c r="I118" s="647">
        <v>33</v>
      </c>
      <c r="J118" s="645"/>
      <c r="K118" s="132"/>
      <c r="L118" s="132"/>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U118" s="155"/>
    </row>
    <row r="119" spans="9:47" ht="14.4" customHeight="1" x14ac:dyDescent="0.25">
      <c r="I119" s="647"/>
      <c r="J119" s="645"/>
      <c r="K119" s="132"/>
      <c r="L119" s="132"/>
      <c r="M119" s="145"/>
      <c r="N119" s="145"/>
      <c r="O119" s="145"/>
      <c r="P119" s="145"/>
      <c r="Q119" s="145"/>
      <c r="R119" s="145"/>
      <c r="S119" s="145"/>
      <c r="T119" s="145"/>
      <c r="U119" s="145"/>
      <c r="V119" s="145"/>
      <c r="W119" s="145"/>
      <c r="X119" s="132"/>
      <c r="Y119" s="132"/>
      <c r="Z119" s="132"/>
      <c r="AA119" s="145"/>
      <c r="AB119" s="145"/>
      <c r="AC119" s="132"/>
      <c r="AD119" s="132"/>
      <c r="AE119" s="132"/>
      <c r="AF119" s="145"/>
      <c r="AG119" s="145"/>
      <c r="AH119" s="145"/>
      <c r="AI119" s="145"/>
      <c r="AJ119" s="145"/>
      <c r="AK119" s="145"/>
      <c r="AL119" s="132"/>
      <c r="AM119" s="132"/>
      <c r="AN119" s="132"/>
      <c r="AU119" s="155"/>
    </row>
    <row r="120" spans="9:47" ht="14.4" customHeight="1" x14ac:dyDescent="0.25">
      <c r="I120" s="647">
        <v>34</v>
      </c>
      <c r="J120" s="645"/>
      <c r="K120" s="132"/>
      <c r="L120" s="132"/>
      <c r="M120" s="132"/>
      <c r="N120" s="132"/>
      <c r="O120" s="132"/>
      <c r="P120" s="132"/>
      <c r="Q120" s="132"/>
      <c r="R120" s="132"/>
      <c r="S120" s="132"/>
      <c r="T120" s="132"/>
      <c r="U120" s="132"/>
      <c r="V120" s="132"/>
      <c r="W120" s="145"/>
      <c r="X120" s="145"/>
      <c r="Y120" s="145"/>
      <c r="Z120" s="145"/>
      <c r="AA120" s="145"/>
      <c r="AB120" s="145"/>
      <c r="AC120" s="145"/>
      <c r="AD120" s="145"/>
      <c r="AE120" s="145"/>
      <c r="AF120" s="145"/>
      <c r="AG120" s="145"/>
      <c r="AH120" s="145"/>
      <c r="AI120" s="145"/>
      <c r="AJ120" s="145"/>
      <c r="AK120" s="145"/>
      <c r="AL120" s="145"/>
      <c r="AM120" s="145"/>
      <c r="AN120" s="145"/>
      <c r="AU120" s="155"/>
    </row>
    <row r="121" spans="9:47" ht="14.4" customHeight="1" x14ac:dyDescent="0.25">
      <c r="I121" s="647"/>
      <c r="J121" s="645"/>
      <c r="K121" s="132"/>
      <c r="L121" s="132"/>
      <c r="M121" s="132"/>
      <c r="N121" s="132"/>
      <c r="O121" s="132"/>
      <c r="P121" s="132"/>
      <c r="Q121" s="132"/>
      <c r="R121" s="132"/>
      <c r="S121" s="132"/>
      <c r="T121" s="132"/>
      <c r="U121" s="132"/>
      <c r="V121" s="132"/>
      <c r="W121" s="145"/>
      <c r="X121" s="132"/>
      <c r="Y121" s="132"/>
      <c r="Z121" s="132"/>
      <c r="AA121" s="145"/>
      <c r="AB121" s="145"/>
      <c r="AC121" s="132"/>
      <c r="AD121" s="132"/>
      <c r="AE121" s="132"/>
      <c r="AF121" s="145"/>
      <c r="AG121" s="145"/>
      <c r="AH121" s="145"/>
      <c r="AI121" s="145"/>
      <c r="AJ121" s="145"/>
      <c r="AK121" s="145"/>
      <c r="AL121" s="132"/>
      <c r="AM121" s="132"/>
      <c r="AN121" s="132"/>
      <c r="AU121" s="155"/>
    </row>
    <row r="122" spans="9:47" ht="14.4" customHeight="1" x14ac:dyDescent="0.25">
      <c r="I122" s="647">
        <v>35</v>
      </c>
      <c r="J122" s="645"/>
      <c r="K122" s="132"/>
      <c r="L122" s="132"/>
      <c r="M122" s="132"/>
      <c r="N122" s="132"/>
      <c r="O122" s="132"/>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U122" s="155"/>
    </row>
    <row r="123" spans="9:47" ht="14.4" customHeight="1" x14ac:dyDescent="0.25">
      <c r="I123" s="647"/>
      <c r="J123" s="645"/>
      <c r="K123" s="132"/>
      <c r="L123" s="132"/>
      <c r="M123" s="132"/>
      <c r="N123" s="132"/>
      <c r="O123" s="132"/>
      <c r="P123" s="145"/>
      <c r="Q123" s="132"/>
      <c r="R123" s="145"/>
      <c r="S123" s="145"/>
      <c r="T123" s="145"/>
      <c r="U123" s="145"/>
      <c r="V123" s="145"/>
      <c r="W123" s="145"/>
      <c r="X123" s="145"/>
      <c r="Y123" s="145"/>
      <c r="Z123" s="145"/>
      <c r="AA123" s="145"/>
      <c r="AB123" s="145"/>
      <c r="AC123" s="132"/>
      <c r="AD123" s="132"/>
      <c r="AE123" s="132"/>
      <c r="AF123" s="145"/>
      <c r="AG123" s="145"/>
      <c r="AH123" s="145"/>
      <c r="AI123" s="145"/>
      <c r="AJ123" s="145"/>
      <c r="AK123" s="145"/>
      <c r="AL123" s="132"/>
      <c r="AM123" s="132"/>
      <c r="AN123" s="132"/>
      <c r="AU123" s="155"/>
    </row>
    <row r="124" spans="9:47" ht="14.4" customHeight="1" x14ac:dyDescent="0.25">
      <c r="I124" s="647">
        <v>36</v>
      </c>
      <c r="J124" s="645"/>
      <c r="K124" s="132"/>
      <c r="L124" s="132"/>
      <c r="M124" s="132"/>
      <c r="N124" s="132"/>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U124" s="155"/>
    </row>
    <row r="125" spans="9:47" ht="14.4" customHeight="1" x14ac:dyDescent="0.25">
      <c r="I125" s="647"/>
      <c r="J125" s="645"/>
      <c r="K125" s="132"/>
      <c r="L125" s="132"/>
      <c r="M125" s="132"/>
      <c r="N125" s="132"/>
      <c r="O125" s="145"/>
      <c r="P125" s="145"/>
      <c r="Q125" s="145"/>
      <c r="R125" s="145"/>
      <c r="S125" s="145"/>
      <c r="T125" s="145"/>
      <c r="U125" s="145"/>
      <c r="V125" s="145"/>
      <c r="W125" s="145"/>
      <c r="X125" s="145"/>
      <c r="Y125" s="145"/>
      <c r="Z125" s="145"/>
      <c r="AA125" s="145"/>
      <c r="AB125" s="145"/>
      <c r="AC125" s="132"/>
      <c r="AD125" s="132"/>
      <c r="AE125" s="132"/>
      <c r="AF125" s="145"/>
      <c r="AG125" s="145"/>
      <c r="AH125" s="145"/>
      <c r="AI125" s="145"/>
      <c r="AJ125" s="145"/>
      <c r="AK125" s="145"/>
      <c r="AL125" s="132"/>
      <c r="AM125" s="132"/>
      <c r="AN125" s="132"/>
      <c r="AU125" s="155"/>
    </row>
    <row r="126" spans="9:47" ht="14.4" customHeight="1" x14ac:dyDescent="0.25">
      <c r="I126" s="647">
        <v>37</v>
      </c>
      <c r="J126" s="645"/>
      <c r="K126" s="132"/>
      <c r="L126" s="132"/>
      <c r="M126" s="132"/>
      <c r="N126" s="132"/>
      <c r="O126" s="145"/>
      <c r="P126" s="145"/>
      <c r="Q126" s="145"/>
      <c r="R126" s="145"/>
      <c r="S126" s="145"/>
      <c r="T126" s="145"/>
      <c r="U126" s="145"/>
      <c r="V126" s="145"/>
      <c r="W126" s="145"/>
      <c r="X126" s="145"/>
      <c r="Y126" s="145"/>
      <c r="Z126" s="145"/>
      <c r="AA126" s="145"/>
      <c r="AB126" s="145"/>
      <c r="AC126" s="145"/>
      <c r="AD126" s="145"/>
      <c r="AE126" s="145"/>
      <c r="AF126" s="145"/>
      <c r="AG126" s="145"/>
      <c r="AH126" s="145"/>
      <c r="AI126" s="145"/>
      <c r="AJ126" s="145"/>
      <c r="AK126" s="145"/>
      <c r="AL126" s="145"/>
      <c r="AM126" s="145"/>
      <c r="AN126" s="145"/>
      <c r="AU126" s="155"/>
    </row>
    <row r="127" spans="9:47" ht="14.4" customHeight="1" x14ac:dyDescent="0.25">
      <c r="I127" s="647"/>
      <c r="J127" s="645"/>
      <c r="K127" s="132"/>
      <c r="L127" s="132"/>
      <c r="M127" s="132"/>
      <c r="N127" s="132"/>
      <c r="O127" s="145"/>
      <c r="P127" s="145"/>
      <c r="Q127" s="145"/>
      <c r="R127" s="145"/>
      <c r="S127" s="145"/>
      <c r="T127" s="145"/>
      <c r="U127" s="145"/>
      <c r="V127" s="145"/>
      <c r="W127" s="145"/>
      <c r="X127" s="145"/>
      <c r="Y127" s="145"/>
      <c r="Z127" s="145"/>
      <c r="AA127" s="145"/>
      <c r="AB127" s="145"/>
      <c r="AC127" s="132"/>
      <c r="AD127" s="132"/>
      <c r="AE127" s="132"/>
      <c r="AF127" s="145"/>
      <c r="AG127" s="145"/>
      <c r="AH127" s="145"/>
      <c r="AI127" s="145"/>
      <c r="AJ127" s="145"/>
      <c r="AK127" s="145"/>
      <c r="AL127" s="132"/>
      <c r="AM127" s="132"/>
      <c r="AN127" s="132"/>
      <c r="AU127" s="155"/>
    </row>
    <row r="128" spans="9:47" ht="14.4" customHeight="1" x14ac:dyDescent="0.25">
      <c r="I128" s="647">
        <v>38</v>
      </c>
      <c r="J128" s="645"/>
      <c r="K128" s="132"/>
      <c r="L128" s="132"/>
      <c r="M128" s="132"/>
      <c r="N128" s="132"/>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45"/>
      <c r="AJ128" s="145"/>
      <c r="AK128" s="145"/>
      <c r="AL128" s="145"/>
      <c r="AM128" s="145"/>
      <c r="AN128" s="145"/>
      <c r="AU128" s="155"/>
    </row>
    <row r="129" spans="9:47" ht="14.4" customHeight="1" x14ac:dyDescent="0.25">
      <c r="I129" s="647"/>
      <c r="J129" s="645"/>
      <c r="K129" s="132"/>
      <c r="L129" s="132"/>
      <c r="M129" s="132"/>
      <c r="N129" s="132"/>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32"/>
      <c r="AM129" s="132"/>
      <c r="AN129" s="132"/>
      <c r="AU129" s="155"/>
    </row>
    <row r="130" spans="9:47" ht="14.4" customHeight="1" x14ac:dyDescent="0.25">
      <c r="I130" s="647">
        <v>39</v>
      </c>
      <c r="J130" s="644"/>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U130" s="155"/>
    </row>
    <row r="131" spans="9:47" ht="14.4" customHeight="1" x14ac:dyDescent="0.25">
      <c r="I131" s="647"/>
      <c r="J131" s="644"/>
      <c r="K131" s="145"/>
      <c r="L131" s="145"/>
      <c r="M131" s="145"/>
      <c r="N131" s="145"/>
      <c r="O131" s="145"/>
      <c r="P131" s="145"/>
      <c r="Q131" s="145"/>
      <c r="R131" s="145"/>
      <c r="S131" s="145"/>
      <c r="T131" s="145"/>
      <c r="U131" s="145"/>
      <c r="V131" s="145"/>
      <c r="W131" s="145"/>
      <c r="X131" s="145"/>
      <c r="Y131" s="145"/>
      <c r="Z131" s="145"/>
      <c r="AA131" s="145"/>
      <c r="AB131" s="145"/>
      <c r="AC131" s="145"/>
      <c r="AD131" s="145"/>
      <c r="AE131" s="145"/>
      <c r="AF131" s="145"/>
      <c r="AG131" s="145"/>
      <c r="AH131" s="145"/>
      <c r="AI131" s="145"/>
      <c r="AJ131" s="145"/>
      <c r="AK131" s="145"/>
      <c r="AL131" s="132"/>
      <c r="AM131" s="132"/>
      <c r="AN131" s="132"/>
      <c r="AU131" s="155"/>
    </row>
    <row r="132" spans="9:47" ht="14.4" customHeight="1" x14ac:dyDescent="0.25">
      <c r="I132" s="647">
        <v>40</v>
      </c>
      <c r="J132" s="644"/>
      <c r="K132" s="145"/>
      <c r="L132" s="145"/>
      <c r="M132" s="145"/>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45"/>
      <c r="AJ132" s="145"/>
      <c r="AK132" s="145"/>
      <c r="AL132" s="145"/>
      <c r="AM132" s="145"/>
      <c r="AN132" s="145"/>
      <c r="AU132" s="155"/>
    </row>
    <row r="133" spans="9:47" ht="14.4" customHeight="1" x14ac:dyDescent="0.25">
      <c r="I133" s="647"/>
      <c r="J133" s="644"/>
      <c r="K133" s="132"/>
      <c r="L133" s="132"/>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45"/>
      <c r="AJ133" s="145"/>
      <c r="AK133" s="145"/>
      <c r="AL133" s="132"/>
      <c r="AM133" s="132"/>
      <c r="AN133" s="132"/>
      <c r="AU133" s="155"/>
    </row>
    <row r="134" spans="9:47" ht="14.4" customHeight="1" x14ac:dyDescent="0.25">
      <c r="I134" s="647">
        <v>41</v>
      </c>
      <c r="J134" s="644"/>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U134" s="155"/>
    </row>
    <row r="135" spans="9:47" ht="14.4" customHeight="1" x14ac:dyDescent="0.25">
      <c r="I135" s="647"/>
      <c r="J135" s="644"/>
      <c r="K135" s="145"/>
      <c r="L135" s="145"/>
      <c r="M135" s="145"/>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45"/>
      <c r="AJ135" s="145"/>
      <c r="AK135" s="145"/>
      <c r="AL135" s="145"/>
      <c r="AM135" s="145"/>
      <c r="AN135" s="145"/>
      <c r="AU135" s="155"/>
    </row>
    <row r="136" spans="9:47" ht="14.4" customHeight="1" x14ac:dyDescent="0.25">
      <c r="I136" s="647">
        <v>42</v>
      </c>
      <c r="J136" s="644"/>
      <c r="K136" s="145"/>
      <c r="L136" s="145"/>
      <c r="M136" s="145"/>
      <c r="N136" s="145"/>
      <c r="O136" s="145"/>
      <c r="P136" s="145"/>
      <c r="Q136" s="145"/>
      <c r="R136" s="145"/>
      <c r="S136" s="145"/>
      <c r="T136" s="145"/>
      <c r="U136" s="145"/>
      <c r="V136" s="145"/>
      <c r="W136" s="145"/>
      <c r="X136" s="145"/>
      <c r="Y136" s="145"/>
      <c r="Z136" s="145"/>
      <c r="AA136" s="145"/>
      <c r="AB136" s="145"/>
      <c r="AC136" s="145"/>
      <c r="AD136" s="145"/>
      <c r="AE136" s="145"/>
      <c r="AF136" s="145"/>
      <c r="AG136" s="145"/>
      <c r="AH136" s="145"/>
      <c r="AI136" s="145"/>
      <c r="AJ136" s="145"/>
      <c r="AK136" s="145"/>
      <c r="AL136" s="145"/>
      <c r="AM136" s="145"/>
      <c r="AN136" s="145"/>
      <c r="AU136" s="155"/>
    </row>
    <row r="137" spans="9:47" ht="14.4" customHeight="1" x14ac:dyDescent="0.25">
      <c r="I137" s="647"/>
      <c r="J137" s="644"/>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U137" s="155"/>
    </row>
    <row r="138" spans="9:47" ht="14.4" customHeight="1" x14ac:dyDescent="0.25">
      <c r="I138" s="647">
        <v>43</v>
      </c>
      <c r="J138" s="644"/>
      <c r="K138" s="145"/>
      <c r="L138" s="145"/>
      <c r="M138" s="145"/>
      <c r="N138" s="145"/>
      <c r="O138" s="145"/>
      <c r="P138" s="145"/>
      <c r="Q138" s="145"/>
      <c r="R138" s="145"/>
      <c r="S138" s="145"/>
      <c r="T138" s="145"/>
      <c r="U138" s="145"/>
      <c r="V138" s="145"/>
      <c r="W138" s="145"/>
      <c r="X138" s="145"/>
      <c r="Y138" s="145"/>
      <c r="Z138" s="145"/>
      <c r="AA138" s="145"/>
      <c r="AB138" s="145"/>
      <c r="AC138" s="145"/>
      <c r="AD138" s="145"/>
      <c r="AE138" s="145"/>
      <c r="AF138" s="145"/>
      <c r="AG138" s="145"/>
      <c r="AH138" s="145"/>
      <c r="AI138" s="145"/>
      <c r="AJ138" s="145"/>
      <c r="AK138" s="145"/>
      <c r="AL138" s="145"/>
      <c r="AM138" s="145"/>
      <c r="AN138" s="145"/>
      <c r="AU138" s="155"/>
    </row>
    <row r="139" spans="9:47" ht="14.4" customHeight="1" x14ac:dyDescent="0.25">
      <c r="I139" s="647"/>
      <c r="J139" s="644"/>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32"/>
      <c r="AM139" s="132"/>
      <c r="AN139" s="132"/>
      <c r="AU139" s="155"/>
    </row>
    <row r="140" spans="9:47" ht="14.4" customHeight="1" x14ac:dyDescent="0.25">
      <c r="I140" s="647">
        <v>44</v>
      </c>
      <c r="J140" s="644"/>
      <c r="K140" s="145"/>
      <c r="L140" s="145"/>
      <c r="M140" s="145"/>
      <c r="N140" s="145"/>
      <c r="O140" s="145"/>
      <c r="P140" s="145"/>
      <c r="Q140" s="145"/>
      <c r="R140" s="145"/>
      <c r="S140" s="145"/>
      <c r="T140" s="145"/>
      <c r="U140" s="145"/>
      <c r="V140" s="145"/>
      <c r="W140" s="145"/>
      <c r="X140" s="145"/>
      <c r="Y140" s="145"/>
      <c r="Z140" s="145"/>
      <c r="AA140" s="145"/>
      <c r="AB140" s="145"/>
      <c r="AC140" s="145"/>
      <c r="AD140" s="145"/>
      <c r="AE140" s="145"/>
      <c r="AF140" s="145"/>
      <c r="AG140" s="145"/>
      <c r="AH140" s="145"/>
      <c r="AI140" s="145"/>
      <c r="AJ140" s="145"/>
      <c r="AK140" s="145"/>
      <c r="AL140" s="145"/>
      <c r="AM140" s="145"/>
      <c r="AN140" s="145"/>
      <c r="AU140" s="155"/>
    </row>
    <row r="141" spans="9:47" ht="14.4" customHeight="1" x14ac:dyDescent="0.25">
      <c r="I141" s="647"/>
      <c r="J141" s="644"/>
      <c r="K141" s="145"/>
      <c r="L141" s="145"/>
      <c r="M141" s="145"/>
      <c r="N141" s="145"/>
      <c r="O141" s="145"/>
      <c r="P141" s="145"/>
      <c r="Q141" s="145"/>
      <c r="R141" s="145"/>
      <c r="S141" s="145"/>
      <c r="T141" s="145"/>
      <c r="U141" s="145"/>
      <c r="V141" s="145"/>
      <c r="W141" s="145"/>
      <c r="X141" s="132"/>
      <c r="Y141" s="145"/>
      <c r="Z141" s="145"/>
      <c r="AA141" s="145"/>
      <c r="AB141" s="145"/>
      <c r="AC141" s="145"/>
      <c r="AD141" s="145"/>
      <c r="AE141" s="145"/>
      <c r="AF141" s="145"/>
      <c r="AG141" s="145"/>
      <c r="AH141" s="145"/>
      <c r="AI141" s="145"/>
      <c r="AJ141" s="145"/>
      <c r="AK141" s="145"/>
      <c r="AL141" s="132"/>
      <c r="AM141" s="132"/>
      <c r="AN141" s="132"/>
      <c r="AU141" s="155"/>
    </row>
    <row r="142" spans="9:47" ht="14.4" customHeight="1" x14ac:dyDescent="0.25">
      <c r="I142" s="647">
        <v>45</v>
      </c>
      <c r="J142" s="644"/>
      <c r="K142" s="145"/>
      <c r="L142" s="145"/>
      <c r="M142" s="145"/>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45"/>
      <c r="AJ142" s="145"/>
      <c r="AK142" s="145"/>
      <c r="AL142" s="145"/>
      <c r="AM142" s="145"/>
      <c r="AN142" s="145"/>
      <c r="AU142" s="155"/>
    </row>
    <row r="143" spans="9:47" ht="14.4" customHeight="1" x14ac:dyDescent="0.25">
      <c r="I143" s="647"/>
      <c r="J143" s="644"/>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U143" s="155"/>
    </row>
    <row r="144" spans="9:47" ht="14.4" customHeight="1" x14ac:dyDescent="0.25">
      <c r="I144" s="647">
        <v>46</v>
      </c>
      <c r="J144" s="644"/>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U144" s="155"/>
    </row>
    <row r="145" spans="9:47" ht="14.4" customHeight="1" x14ac:dyDescent="0.25">
      <c r="I145" s="647"/>
      <c r="J145" s="644"/>
      <c r="K145" s="145"/>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U145" s="155"/>
    </row>
    <row r="146" spans="9:47" ht="14.4" customHeight="1" x14ac:dyDescent="0.25">
      <c r="I146" s="647">
        <v>47</v>
      </c>
      <c r="J146" s="644"/>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145"/>
      <c r="AL146" s="145"/>
      <c r="AM146" s="145"/>
      <c r="AN146" s="145"/>
      <c r="AU146" s="155"/>
    </row>
    <row r="147" spans="9:47" ht="14.4" customHeight="1" x14ac:dyDescent="0.25">
      <c r="I147" s="647"/>
      <c r="J147" s="644"/>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145"/>
      <c r="AN147" s="145"/>
      <c r="AU147" s="155"/>
    </row>
    <row r="148" spans="9:47" ht="14.4" customHeight="1" x14ac:dyDescent="0.25">
      <c r="I148" s="647">
        <v>48</v>
      </c>
      <c r="J148" s="644"/>
      <c r="K148" s="145"/>
      <c r="L148" s="145"/>
      <c r="M148" s="145"/>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45"/>
      <c r="AJ148" s="145"/>
      <c r="AK148" s="145"/>
      <c r="AL148" s="145"/>
      <c r="AM148" s="145"/>
      <c r="AN148" s="145"/>
      <c r="AU148" s="155"/>
    </row>
    <row r="149" spans="9:47" ht="14.4" customHeight="1" x14ac:dyDescent="0.25">
      <c r="I149" s="647"/>
      <c r="J149" s="644"/>
      <c r="K149" s="145"/>
      <c r="L149" s="145"/>
      <c r="M149" s="145"/>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45"/>
      <c r="AJ149" s="145"/>
      <c r="AK149" s="145"/>
      <c r="AL149" s="145"/>
      <c r="AM149" s="145"/>
      <c r="AN149" s="145"/>
      <c r="AU149" s="155"/>
    </row>
    <row r="150" spans="9:47" ht="14.4" customHeight="1" x14ac:dyDescent="0.25">
      <c r="I150" s="647">
        <v>49</v>
      </c>
      <c r="J150" s="644"/>
      <c r="K150" s="145"/>
      <c r="L150" s="145"/>
      <c r="M150" s="145"/>
      <c r="N150" s="145"/>
      <c r="O150" s="145"/>
      <c r="P150" s="145"/>
      <c r="Q150" s="145"/>
      <c r="R150" s="145"/>
      <c r="S150" s="145"/>
      <c r="T150" s="145"/>
      <c r="U150" s="145"/>
      <c r="V150" s="145"/>
      <c r="W150" s="145"/>
      <c r="X150" s="145"/>
      <c r="Y150" s="145"/>
      <c r="Z150" s="145"/>
      <c r="AA150" s="145"/>
      <c r="AB150" s="145"/>
      <c r="AC150" s="145"/>
      <c r="AD150" s="145"/>
      <c r="AE150" s="145"/>
      <c r="AF150" s="145"/>
      <c r="AG150" s="145"/>
      <c r="AH150" s="145"/>
      <c r="AI150" s="145"/>
      <c r="AJ150" s="145"/>
      <c r="AK150" s="145"/>
      <c r="AL150" s="145"/>
      <c r="AM150" s="145"/>
      <c r="AN150" s="145"/>
      <c r="AU150" s="155"/>
    </row>
    <row r="151" spans="9:47" ht="14.4" customHeight="1" x14ac:dyDescent="0.25">
      <c r="I151" s="647"/>
      <c r="J151" s="644"/>
      <c r="K151" s="145"/>
      <c r="L151" s="145"/>
      <c r="M151" s="145"/>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45"/>
      <c r="AJ151" s="145"/>
      <c r="AK151" s="145"/>
      <c r="AL151" s="145"/>
      <c r="AM151" s="145"/>
      <c r="AN151" s="145"/>
      <c r="AU151" s="155"/>
    </row>
    <row r="152" spans="9:47" ht="14.4" customHeight="1" x14ac:dyDescent="0.25">
      <c r="I152" s="647">
        <v>50</v>
      </c>
      <c r="J152" s="645"/>
      <c r="K152" s="132"/>
      <c r="L152" s="132"/>
      <c r="M152" s="132"/>
      <c r="N152" s="145"/>
      <c r="O152" s="145"/>
      <c r="P152" s="145"/>
      <c r="Q152" s="145"/>
      <c r="R152" s="145"/>
      <c r="S152" s="145"/>
      <c r="T152" s="145"/>
      <c r="U152" s="145"/>
      <c r="V152" s="145"/>
      <c r="W152" s="145"/>
      <c r="X152" s="145"/>
      <c r="Y152" s="145"/>
      <c r="Z152" s="145"/>
      <c r="AA152" s="145"/>
      <c r="AB152" s="145"/>
      <c r="AC152" s="145"/>
      <c r="AD152" s="145"/>
      <c r="AE152" s="145"/>
      <c r="AF152" s="145"/>
      <c r="AG152" s="145"/>
      <c r="AH152" s="145"/>
      <c r="AI152" s="145"/>
      <c r="AJ152" s="145"/>
      <c r="AK152" s="145"/>
      <c r="AL152" s="145"/>
      <c r="AM152" s="145"/>
      <c r="AN152" s="145"/>
      <c r="AU152" s="155"/>
    </row>
    <row r="153" spans="9:47" ht="14.4" customHeight="1" x14ac:dyDescent="0.25">
      <c r="I153" s="647"/>
      <c r="J153" s="645"/>
      <c r="K153" s="132"/>
      <c r="L153" s="132"/>
      <c r="M153" s="132"/>
      <c r="N153" s="145"/>
      <c r="O153" s="145"/>
      <c r="P153" s="145"/>
      <c r="Q153" s="145"/>
      <c r="R153" s="145"/>
      <c r="S153" s="145"/>
      <c r="T153" s="145"/>
      <c r="U153" s="145"/>
      <c r="V153" s="145"/>
      <c r="W153" s="145"/>
      <c r="X153" s="145"/>
      <c r="Y153" s="145"/>
      <c r="Z153" s="145"/>
      <c r="AA153" s="145"/>
      <c r="AB153" s="145"/>
      <c r="AC153" s="145"/>
      <c r="AD153" s="145"/>
      <c r="AE153" s="145"/>
      <c r="AF153" s="145"/>
      <c r="AG153" s="145"/>
      <c r="AH153" s="145"/>
      <c r="AI153" s="145"/>
      <c r="AJ153" s="145"/>
      <c r="AK153" s="145"/>
      <c r="AL153" s="145"/>
      <c r="AM153" s="145"/>
      <c r="AN153" s="145"/>
      <c r="AU153" s="155"/>
    </row>
    <row r="154" spans="9:47" ht="14.4" customHeight="1" x14ac:dyDescent="0.25">
      <c r="I154" s="647">
        <v>51</v>
      </c>
      <c r="J154" s="645"/>
      <c r="K154" s="132"/>
      <c r="L154" s="132"/>
      <c r="M154" s="132"/>
      <c r="N154" s="132"/>
      <c r="O154" s="132"/>
      <c r="P154" s="145"/>
      <c r="Q154" s="145"/>
      <c r="R154" s="145"/>
      <c r="S154" s="145"/>
      <c r="T154" s="145"/>
      <c r="U154" s="145"/>
      <c r="V154" s="145"/>
      <c r="W154" s="145"/>
      <c r="X154" s="145"/>
      <c r="Y154" s="145"/>
      <c r="Z154" s="145"/>
      <c r="AA154" s="145"/>
      <c r="AB154" s="145"/>
      <c r="AC154" s="145"/>
      <c r="AD154" s="145"/>
      <c r="AE154" s="145"/>
      <c r="AF154" s="145"/>
      <c r="AG154" s="145"/>
      <c r="AH154" s="145"/>
      <c r="AI154" s="145"/>
      <c r="AJ154" s="145"/>
      <c r="AK154" s="145"/>
      <c r="AL154" s="145"/>
      <c r="AM154" s="145"/>
      <c r="AN154" s="145"/>
      <c r="AU154" s="155"/>
    </row>
    <row r="155" spans="9:47" ht="14.4" customHeight="1" x14ac:dyDescent="0.25">
      <c r="I155" s="647"/>
      <c r="J155" s="645"/>
      <c r="K155" s="132"/>
      <c r="L155" s="132"/>
      <c r="M155" s="132"/>
      <c r="N155" s="132"/>
      <c r="O155" s="132"/>
      <c r="P155" s="145"/>
      <c r="Q155" s="145"/>
      <c r="R155" s="145"/>
      <c r="S155" s="145"/>
      <c r="T155" s="145"/>
      <c r="U155" s="145"/>
      <c r="V155" s="145"/>
      <c r="W155" s="145"/>
      <c r="X155" s="145"/>
      <c r="Y155" s="145"/>
      <c r="Z155" s="145"/>
      <c r="AA155" s="145"/>
      <c r="AB155" s="145"/>
      <c r="AC155" s="145"/>
      <c r="AD155" s="145"/>
      <c r="AE155" s="145"/>
      <c r="AF155" s="145"/>
      <c r="AG155" s="145"/>
      <c r="AH155" s="145"/>
      <c r="AI155" s="145"/>
      <c r="AJ155" s="145"/>
      <c r="AK155" s="145"/>
      <c r="AL155" s="145"/>
      <c r="AM155" s="145"/>
      <c r="AN155" s="145"/>
      <c r="AU155" s="155"/>
    </row>
    <row r="156" spans="9:47" ht="14.4" customHeight="1" x14ac:dyDescent="0.25">
      <c r="I156" s="647">
        <v>52</v>
      </c>
      <c r="J156" s="645"/>
      <c r="K156" s="132"/>
      <c r="L156" s="132"/>
      <c r="M156" s="132"/>
      <c r="N156" s="132"/>
      <c r="O156" s="132"/>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U156" s="155"/>
    </row>
    <row r="157" spans="9:47" ht="14.4" customHeight="1" x14ac:dyDescent="0.25">
      <c r="I157" s="647"/>
      <c r="J157" s="645"/>
      <c r="K157" s="132"/>
      <c r="L157" s="132"/>
      <c r="M157" s="132"/>
      <c r="N157" s="132"/>
      <c r="O157" s="132"/>
      <c r="P157" s="145"/>
      <c r="Q157" s="145"/>
      <c r="R157" s="145"/>
      <c r="S157" s="145"/>
      <c r="T157" s="145"/>
      <c r="U157" s="145"/>
      <c r="V157" s="145"/>
      <c r="W157" s="145"/>
      <c r="X157" s="145"/>
      <c r="Y157" s="145"/>
      <c r="Z157" s="145"/>
      <c r="AA157" s="145"/>
      <c r="AB157" s="145"/>
      <c r="AC157" s="145"/>
      <c r="AD157" s="145"/>
      <c r="AE157" s="145"/>
      <c r="AF157" s="145"/>
      <c r="AG157" s="145"/>
      <c r="AH157" s="145"/>
      <c r="AI157" s="145"/>
      <c r="AJ157" s="145"/>
      <c r="AK157" s="145"/>
      <c r="AL157" s="145"/>
      <c r="AM157" s="145"/>
      <c r="AN157" s="145"/>
      <c r="AU157" s="155"/>
    </row>
    <row r="158" spans="9:47" ht="14.4" customHeight="1" x14ac:dyDescent="0.25">
      <c r="I158" s="647">
        <v>53</v>
      </c>
      <c r="J158" s="645"/>
      <c r="K158" s="132"/>
      <c r="L158" s="132"/>
      <c r="M158" s="145"/>
      <c r="N158" s="145"/>
      <c r="O158" s="145"/>
      <c r="P158" s="145"/>
      <c r="Q158" s="145"/>
      <c r="R158" s="145"/>
      <c r="S158" s="145"/>
      <c r="T158" s="145"/>
      <c r="U158" s="145"/>
      <c r="V158" s="145"/>
      <c r="W158" s="145"/>
      <c r="X158" s="145"/>
      <c r="Y158" s="145"/>
      <c r="Z158" s="145"/>
      <c r="AA158" s="145"/>
      <c r="AB158" s="145"/>
      <c r="AC158" s="145"/>
      <c r="AD158" s="145"/>
      <c r="AE158" s="145"/>
      <c r="AF158" s="145"/>
      <c r="AG158" s="145"/>
      <c r="AH158" s="145"/>
      <c r="AI158" s="145"/>
      <c r="AJ158" s="145"/>
      <c r="AK158" s="145"/>
      <c r="AL158" s="145"/>
      <c r="AM158" s="145"/>
      <c r="AN158" s="145"/>
      <c r="AU158" s="155"/>
    </row>
    <row r="159" spans="9:47" ht="14.4" customHeight="1" x14ac:dyDescent="0.25">
      <c r="I159" s="647"/>
      <c r="J159" s="646"/>
      <c r="K159" s="144"/>
      <c r="L159" s="156"/>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4"/>
      <c r="AN159" s="144"/>
      <c r="AO159" s="156"/>
      <c r="AP159" s="156"/>
      <c r="AQ159" s="156"/>
      <c r="AR159" s="156"/>
      <c r="AS159" s="156"/>
      <c r="AT159" s="156"/>
      <c r="AU159" s="157"/>
    </row>
  </sheetData>
  <mergeCells count="110">
    <mergeCell ref="AC1:AD1"/>
    <mergeCell ref="AE1:AH1"/>
    <mergeCell ref="AI1:AJ1"/>
    <mergeCell ref="AK1:AM1"/>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I98:I99"/>
    <mergeCell ref="I100:I101"/>
    <mergeCell ref="I102:I103"/>
    <mergeCell ref="I104:I105"/>
    <mergeCell ref="I106:I107"/>
    <mergeCell ref="I108:I109"/>
    <mergeCell ref="I110:I111"/>
    <mergeCell ref="I112:I113"/>
    <mergeCell ref="I114:I115"/>
    <mergeCell ref="I116:I117"/>
    <mergeCell ref="I118:I119"/>
    <mergeCell ref="I120:I121"/>
    <mergeCell ref="I122:I123"/>
    <mergeCell ref="I124:I125"/>
    <mergeCell ref="I126:I127"/>
    <mergeCell ref="I128:I129"/>
    <mergeCell ref="I130:I131"/>
    <mergeCell ref="I132:I133"/>
    <mergeCell ref="I134:I135"/>
    <mergeCell ref="I136:I137"/>
    <mergeCell ref="I138:I139"/>
    <mergeCell ref="I140:I141"/>
    <mergeCell ref="I142:I143"/>
    <mergeCell ref="I144:I145"/>
    <mergeCell ref="I146:I147"/>
    <mergeCell ref="I148:I149"/>
    <mergeCell ref="I150:I151"/>
    <mergeCell ref="I152:I153"/>
    <mergeCell ref="I154:I155"/>
    <mergeCell ref="I156:I157"/>
    <mergeCell ref="I158:I159"/>
    <mergeCell ref="J54:J55"/>
    <mergeCell ref="J56:J57"/>
    <mergeCell ref="J58:J59"/>
    <mergeCell ref="J60:J61"/>
    <mergeCell ref="J62:J63"/>
    <mergeCell ref="J64:J65"/>
    <mergeCell ref="J66:J67"/>
    <mergeCell ref="J68:J69"/>
    <mergeCell ref="J70:J71"/>
    <mergeCell ref="J72:J73"/>
    <mergeCell ref="J74:J75"/>
    <mergeCell ref="J76:J77"/>
    <mergeCell ref="J78:J79"/>
    <mergeCell ref="J80:J81"/>
    <mergeCell ref="J82:J83"/>
    <mergeCell ref="J84:J85"/>
    <mergeCell ref="J86:J87"/>
    <mergeCell ref="J88:J89"/>
    <mergeCell ref="J90:J91"/>
    <mergeCell ref="J92:J93"/>
    <mergeCell ref="J94:J95"/>
    <mergeCell ref="J96:J97"/>
    <mergeCell ref="J98:J99"/>
    <mergeCell ref="J100:J101"/>
    <mergeCell ref="J102:J103"/>
    <mergeCell ref="J104:J105"/>
    <mergeCell ref="J106:J107"/>
    <mergeCell ref="J108:J109"/>
    <mergeCell ref="J110:J111"/>
    <mergeCell ref="J112:J113"/>
    <mergeCell ref="J114:J115"/>
    <mergeCell ref="J116:J117"/>
    <mergeCell ref="J118:J119"/>
    <mergeCell ref="J120:J121"/>
    <mergeCell ref="J122:J123"/>
    <mergeCell ref="J124:J125"/>
    <mergeCell ref="J126:J127"/>
    <mergeCell ref="J128:J129"/>
    <mergeCell ref="J130:J131"/>
    <mergeCell ref="J150:J151"/>
    <mergeCell ref="J152:J153"/>
    <mergeCell ref="J154:J155"/>
    <mergeCell ref="J156:J157"/>
    <mergeCell ref="J158:J159"/>
    <mergeCell ref="J132:J133"/>
    <mergeCell ref="J134:J135"/>
    <mergeCell ref="J136:J137"/>
    <mergeCell ref="J138:J139"/>
    <mergeCell ref="J140:J141"/>
    <mergeCell ref="J142:J143"/>
    <mergeCell ref="J144:J145"/>
    <mergeCell ref="J146:J147"/>
    <mergeCell ref="J148:J149"/>
  </mergeCells>
  <phoneticPr fontId="8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N18"/>
  <sheetViews>
    <sheetView zoomScale="85" zoomScaleNormal="85" workbookViewId="0">
      <selection activeCell="N3" sqref="N3"/>
    </sheetView>
  </sheetViews>
  <sheetFormatPr defaultColWidth="9.33203125" defaultRowHeight="14.4" customHeight="1" x14ac:dyDescent="0.25"/>
  <cols>
    <col min="1" max="1" width="9.33203125" style="127"/>
    <col min="2" max="6" width="19.44140625" style="127" customWidth="1"/>
    <col min="7" max="7" width="62.77734375" style="127" customWidth="1"/>
    <col min="8" max="16384" width="9.33203125" style="127"/>
  </cols>
  <sheetData>
    <row r="1" spans="1:14" ht="14.4" customHeight="1" x14ac:dyDescent="0.25">
      <c r="A1" s="128" t="s">
        <v>7</v>
      </c>
      <c r="B1" s="128" t="s">
        <v>15</v>
      </c>
      <c r="C1" s="128" t="s">
        <v>17</v>
      </c>
      <c r="D1" s="128" t="s">
        <v>19</v>
      </c>
      <c r="E1" s="128" t="s">
        <v>21</v>
      </c>
      <c r="F1" s="128" t="s">
        <v>110</v>
      </c>
      <c r="G1" s="129" t="s">
        <v>6</v>
      </c>
      <c r="H1" s="128" t="s">
        <v>2144</v>
      </c>
      <c r="I1" s="128" t="s">
        <v>15</v>
      </c>
      <c r="J1" s="128" t="s">
        <v>17</v>
      </c>
      <c r="K1" s="128" t="s">
        <v>19</v>
      </c>
      <c r="L1" s="128" t="s">
        <v>21</v>
      </c>
      <c r="M1" s="128" t="s">
        <v>110</v>
      </c>
      <c r="N1" s="128" t="s">
        <v>6</v>
      </c>
    </row>
    <row r="2" spans="1:14" ht="14.4" customHeight="1" x14ac:dyDescent="0.25">
      <c r="A2" s="127" t="s">
        <v>363</v>
      </c>
      <c r="B2" s="127" t="str">
        <f t="shared" ref="B2:G2" si="0">""</f>
        <v/>
      </c>
      <c r="C2" s="127" t="str">
        <f t="shared" si="0"/>
        <v/>
      </c>
      <c r="D2" s="127" t="str">
        <f t="shared" si="0"/>
        <v/>
      </c>
      <c r="E2" s="127" t="str">
        <f t="shared" si="0"/>
        <v/>
      </c>
      <c r="F2" s="127" t="str">
        <f t="shared" si="0"/>
        <v/>
      </c>
      <c r="G2" s="130" t="str">
        <f t="shared" si="0"/>
        <v/>
      </c>
      <c r="H2" s="127" t="str">
        <f>IF(背景!E6="","-",背景!E6)</f>
        <v>-</v>
      </c>
      <c r="I2" s="127" t="str">
        <f>IFERROR(VLOOKUP(H2,A2:G18,2,0),"")</f>
        <v/>
      </c>
      <c r="J2" s="127" t="str">
        <f>IFERROR(VLOOKUP(H2,A2:G18,3,0),"")</f>
        <v/>
      </c>
      <c r="K2" s="127" t="str">
        <f>IFERROR(VLOOKUP(H2,A2:G18,4,0),"")</f>
        <v/>
      </c>
      <c r="L2" s="127" t="str">
        <f>IFERROR(VLOOKUP(H2,A2:G18,5,0),"")</f>
        <v/>
      </c>
      <c r="M2" s="127" t="str">
        <f>IFERROR(VLOOKUP(H2,A2:G18,6,0),"")</f>
        <v/>
      </c>
      <c r="N2" s="127" t="str">
        <f>IFERROR(VLOOKUP(H2,A2:G18,7,0),"")</f>
        <v/>
      </c>
    </row>
    <row r="3" spans="1:14" ht="14.4" customHeight="1" x14ac:dyDescent="0.25">
      <c r="A3" s="127" t="s">
        <v>2145</v>
      </c>
      <c r="B3" s="127" t="s">
        <v>2146</v>
      </c>
      <c r="C3" s="127" t="s">
        <v>2147</v>
      </c>
      <c r="D3" s="127" t="s">
        <v>2148</v>
      </c>
      <c r="E3" s="127" t="s">
        <v>241</v>
      </c>
      <c r="F3" s="127" t="s">
        <v>2149</v>
      </c>
      <c r="G3" s="130" t="s">
        <v>2150</v>
      </c>
    </row>
    <row r="4" spans="1:14" ht="14.4" customHeight="1" x14ac:dyDescent="0.25">
      <c r="A4" s="127" t="s">
        <v>2151</v>
      </c>
      <c r="B4" s="127" t="s">
        <v>2152</v>
      </c>
      <c r="C4" s="127" t="s">
        <v>573</v>
      </c>
      <c r="D4" s="127" t="s">
        <v>2153</v>
      </c>
      <c r="E4" s="127" t="s">
        <v>2154</v>
      </c>
      <c r="F4" s="127" t="s">
        <v>2155</v>
      </c>
      <c r="G4" s="130" t="s">
        <v>2156</v>
      </c>
    </row>
    <row r="5" spans="1:14" ht="14.4" customHeight="1" x14ac:dyDescent="0.25">
      <c r="A5" s="127" t="s">
        <v>2157</v>
      </c>
      <c r="B5" s="127" t="s">
        <v>2158</v>
      </c>
      <c r="C5" s="127" t="s">
        <v>597</v>
      </c>
      <c r="D5" s="127" t="s">
        <v>2159</v>
      </c>
      <c r="E5" s="127" t="s">
        <v>361</v>
      </c>
      <c r="F5" s="127" t="s">
        <v>2160</v>
      </c>
      <c r="G5" s="130" t="s">
        <v>2161</v>
      </c>
    </row>
    <row r="6" spans="1:14" ht="14.4" customHeight="1" x14ac:dyDescent="0.25">
      <c r="A6" s="127" t="s">
        <v>2162</v>
      </c>
      <c r="B6" s="127" t="s">
        <v>2163</v>
      </c>
      <c r="C6" s="127" t="s">
        <v>2164</v>
      </c>
      <c r="D6" s="127" t="s">
        <v>2165</v>
      </c>
      <c r="E6" s="127" t="s">
        <v>457</v>
      </c>
      <c r="F6" s="127" t="s">
        <v>2166</v>
      </c>
      <c r="G6" s="130" t="s">
        <v>2167</v>
      </c>
    </row>
    <row r="7" spans="1:14" ht="14.4" customHeight="1" x14ac:dyDescent="0.25">
      <c r="A7" s="127" t="s">
        <v>2168</v>
      </c>
      <c r="B7" s="127" t="s">
        <v>2169</v>
      </c>
      <c r="C7" s="127" t="s">
        <v>589</v>
      </c>
      <c r="D7" s="127" t="s">
        <v>2170</v>
      </c>
      <c r="E7" s="127" t="s">
        <v>2171</v>
      </c>
      <c r="F7" s="127" t="s">
        <v>2172</v>
      </c>
      <c r="G7" s="130" t="s">
        <v>2173</v>
      </c>
    </row>
    <row r="8" spans="1:14" ht="14.4" customHeight="1" x14ac:dyDescent="0.25">
      <c r="A8" s="127" t="s">
        <v>2174</v>
      </c>
      <c r="B8" s="127" t="s">
        <v>2175</v>
      </c>
      <c r="C8" s="127" t="s">
        <v>605</v>
      </c>
      <c r="D8" s="127" t="s">
        <v>2176</v>
      </c>
      <c r="E8" s="127" t="s">
        <v>250</v>
      </c>
      <c r="F8" s="127" t="s">
        <v>2177</v>
      </c>
      <c r="G8" s="130" t="s">
        <v>2178</v>
      </c>
    </row>
    <row r="9" spans="1:14" ht="14.4" customHeight="1" x14ac:dyDescent="0.25">
      <c r="A9" s="127" t="s">
        <v>2179</v>
      </c>
      <c r="B9" s="127" t="s">
        <v>2180</v>
      </c>
      <c r="C9" s="127" t="s">
        <v>2164</v>
      </c>
      <c r="D9" s="127" t="s">
        <v>2181</v>
      </c>
      <c r="E9" s="127" t="s">
        <v>2182</v>
      </c>
      <c r="F9" s="127" t="s">
        <v>2183</v>
      </c>
      <c r="G9" s="130" t="s">
        <v>2184</v>
      </c>
    </row>
    <row r="10" spans="1:14" ht="14.4" customHeight="1" x14ac:dyDescent="0.25">
      <c r="A10" s="127" t="s">
        <v>2185</v>
      </c>
      <c r="B10" s="127" t="s">
        <v>2186</v>
      </c>
      <c r="C10" s="127" t="s">
        <v>2187</v>
      </c>
      <c r="D10" s="127" t="s">
        <v>2188</v>
      </c>
      <c r="E10" s="127" t="s">
        <v>261</v>
      </c>
      <c r="F10" s="127" t="s">
        <v>2189</v>
      </c>
      <c r="G10" s="130" t="s">
        <v>2190</v>
      </c>
    </row>
    <row r="11" spans="1:14" ht="14.4" customHeight="1" x14ac:dyDescent="0.25">
      <c r="A11" s="127" t="s">
        <v>2191</v>
      </c>
      <c r="B11" s="127" t="s">
        <v>2192</v>
      </c>
      <c r="C11" s="127" t="s">
        <v>577</v>
      </c>
      <c r="D11" s="127" t="s">
        <v>2193</v>
      </c>
      <c r="E11" s="127" t="s">
        <v>393</v>
      </c>
      <c r="F11" s="127" t="s">
        <v>2194</v>
      </c>
      <c r="G11" s="130" t="s">
        <v>2195</v>
      </c>
    </row>
    <row r="12" spans="1:14" ht="14.4" customHeight="1" x14ac:dyDescent="0.25">
      <c r="A12" s="127" t="s">
        <v>2196</v>
      </c>
      <c r="B12" s="127" t="s">
        <v>2197</v>
      </c>
      <c r="C12" s="127" t="s">
        <v>581</v>
      </c>
      <c r="D12" s="127" t="s">
        <v>2198</v>
      </c>
      <c r="E12" s="127" t="s">
        <v>446</v>
      </c>
      <c r="F12" s="127" t="s">
        <v>2199</v>
      </c>
      <c r="G12" s="130" t="s">
        <v>2200</v>
      </c>
    </row>
    <row r="13" spans="1:14" ht="14.4" customHeight="1" x14ac:dyDescent="0.25">
      <c r="A13" s="127" t="s">
        <v>2201</v>
      </c>
      <c r="B13" s="127" t="s">
        <v>2202</v>
      </c>
      <c r="C13" s="127" t="s">
        <v>597</v>
      </c>
      <c r="D13" s="127" t="s">
        <v>2203</v>
      </c>
      <c r="E13" s="127" t="s">
        <v>2182</v>
      </c>
      <c r="F13" s="127" t="s">
        <v>2204</v>
      </c>
      <c r="G13" s="130" t="s">
        <v>2205</v>
      </c>
    </row>
    <row r="14" spans="1:14" ht="14.4" customHeight="1" x14ac:dyDescent="0.25">
      <c r="A14" s="127" t="s">
        <v>2206</v>
      </c>
      <c r="B14" s="127" t="s">
        <v>2207</v>
      </c>
      <c r="C14" s="127" t="s">
        <v>2208</v>
      </c>
      <c r="D14" s="127" t="s">
        <v>2209</v>
      </c>
      <c r="E14" s="127" t="s">
        <v>241</v>
      </c>
      <c r="F14" s="127" t="s">
        <v>2210</v>
      </c>
      <c r="G14" s="130" t="s">
        <v>2211</v>
      </c>
    </row>
    <row r="15" spans="1:14" ht="14.4" customHeight="1" x14ac:dyDescent="0.25">
      <c r="A15" s="127" t="s">
        <v>2212</v>
      </c>
      <c r="B15" s="127" t="s">
        <v>2213</v>
      </c>
      <c r="C15" s="127" t="s">
        <v>601</v>
      </c>
      <c r="D15" s="127" t="s">
        <v>2214</v>
      </c>
      <c r="E15" s="127" t="s">
        <v>446</v>
      </c>
      <c r="F15" s="127" t="s">
        <v>2215</v>
      </c>
      <c r="G15" s="130" t="s">
        <v>2216</v>
      </c>
    </row>
    <row r="16" spans="1:14" ht="14.4" customHeight="1" x14ac:dyDescent="0.25">
      <c r="A16" s="127" t="s">
        <v>2217</v>
      </c>
      <c r="B16" s="127" t="s">
        <v>2218</v>
      </c>
      <c r="C16" s="127" t="s">
        <v>597</v>
      </c>
      <c r="D16" s="127" t="s">
        <v>2219</v>
      </c>
      <c r="E16" s="127" t="s">
        <v>241</v>
      </c>
      <c r="F16" s="127" t="s">
        <v>2220</v>
      </c>
      <c r="G16" s="130" t="s">
        <v>2221</v>
      </c>
    </row>
    <row r="17" spans="1:7" ht="14.4" customHeight="1" x14ac:dyDescent="0.25">
      <c r="A17" s="127" t="s">
        <v>2222</v>
      </c>
      <c r="B17" s="127" t="s">
        <v>2223</v>
      </c>
      <c r="C17" s="127" t="s">
        <v>593</v>
      </c>
      <c r="D17" s="127" t="s">
        <v>2224</v>
      </c>
      <c r="E17" s="127" t="s">
        <v>2182</v>
      </c>
      <c r="F17" s="127" t="s">
        <v>2225</v>
      </c>
      <c r="G17" s="130" t="s">
        <v>2226</v>
      </c>
    </row>
    <row r="18" spans="1:7" ht="14.4" customHeight="1" x14ac:dyDescent="0.25">
      <c r="A18" s="127" t="s">
        <v>2227</v>
      </c>
      <c r="B18" s="127" t="s">
        <v>2228</v>
      </c>
      <c r="C18" s="127" t="s">
        <v>581</v>
      </c>
      <c r="D18" s="127" t="s">
        <v>2229</v>
      </c>
      <c r="E18" s="127" t="s">
        <v>457</v>
      </c>
      <c r="F18" s="127" t="s">
        <v>2230</v>
      </c>
      <c r="G18" s="130" t="s">
        <v>2231</v>
      </c>
    </row>
  </sheetData>
  <phoneticPr fontId="8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7" tint="0.39994506668294322"/>
  </sheetPr>
  <dimension ref="A1:BR49"/>
  <sheetViews>
    <sheetView zoomScale="85" zoomScaleNormal="85" workbookViewId="0">
      <selection activeCell="B5" sqref="B5:E5"/>
    </sheetView>
  </sheetViews>
  <sheetFormatPr defaultColWidth="3.33203125" defaultRowHeight="16.95" customHeight="1" x14ac:dyDescent="0.25"/>
  <cols>
    <col min="1" max="33" width="3.33203125" style="101"/>
    <col min="34" max="34" width="3.33203125" style="101" customWidth="1"/>
    <col min="35" max="16384" width="3.33203125" style="101"/>
  </cols>
  <sheetData>
    <row r="1" spans="1:70" ht="16.95" customHeight="1" x14ac:dyDescent="0.25">
      <c r="A1" s="679" t="s">
        <v>2232</v>
      </c>
      <c r="B1" s="679"/>
      <c r="C1" s="679"/>
      <c r="D1" s="679"/>
      <c r="E1" s="679"/>
      <c r="F1" s="679"/>
      <c r="G1" s="679"/>
      <c r="H1" s="679"/>
      <c r="I1" s="679"/>
      <c r="J1" s="679"/>
      <c r="K1" s="679"/>
      <c r="L1" s="679"/>
      <c r="M1" s="679"/>
      <c r="N1" s="679"/>
      <c r="O1" s="679"/>
      <c r="P1" s="679"/>
      <c r="Q1" s="679"/>
      <c r="R1" s="679"/>
      <c r="S1" s="679"/>
      <c r="T1" s="679"/>
      <c r="U1" s="679"/>
      <c r="V1" s="679"/>
      <c r="W1" s="679"/>
      <c r="X1" s="679"/>
      <c r="Y1" s="679"/>
      <c r="Z1" s="679"/>
      <c r="AA1" s="679"/>
      <c r="AB1" s="679"/>
      <c r="AC1" s="679"/>
      <c r="AD1" s="679"/>
      <c r="AE1" s="679"/>
      <c r="AF1" s="679"/>
      <c r="AG1" s="679"/>
      <c r="AH1" s="679"/>
      <c r="AI1" s="679"/>
      <c r="AJ1" s="679"/>
      <c r="AK1" s="679"/>
      <c r="AL1" s="679"/>
      <c r="AM1" s="679"/>
      <c r="AN1" s="679"/>
      <c r="AO1" s="679"/>
      <c r="AP1" s="679"/>
      <c r="AQ1" s="679"/>
      <c r="AR1" s="679"/>
      <c r="AS1" s="679"/>
      <c r="AT1" s="679"/>
      <c r="AU1" s="679"/>
      <c r="AV1" s="679"/>
      <c r="AW1" s="679"/>
      <c r="AX1" s="679"/>
      <c r="AY1" s="679"/>
      <c r="AZ1" s="679"/>
      <c r="BA1" s="679"/>
      <c r="BB1" s="679"/>
      <c r="BC1" s="679"/>
      <c r="BD1" s="679"/>
      <c r="BE1" s="679"/>
      <c r="BF1" s="679"/>
      <c r="BG1" s="679"/>
      <c r="BH1" s="679"/>
      <c r="BI1" s="679"/>
      <c r="BJ1" s="679"/>
      <c r="BK1" s="679"/>
      <c r="BL1" s="679"/>
      <c r="BM1" s="679"/>
      <c r="BN1" s="679"/>
      <c r="BO1" s="679"/>
      <c r="BP1" s="679"/>
      <c r="BQ1" s="679"/>
      <c r="BR1" s="679"/>
    </row>
    <row r="2" spans="1:70" ht="7.95" customHeight="1" x14ac:dyDescent="0.25"/>
    <row r="3" spans="1:70" ht="16.95" customHeight="1" x14ac:dyDescent="0.25">
      <c r="B3" s="671" t="s">
        <v>2233</v>
      </c>
      <c r="C3" s="671"/>
      <c r="D3" s="671"/>
      <c r="E3" s="671"/>
      <c r="F3" s="671"/>
      <c r="G3" s="671"/>
      <c r="H3" s="671"/>
      <c r="I3" s="671"/>
      <c r="J3" s="671"/>
      <c r="K3" s="671"/>
      <c r="L3" s="671"/>
      <c r="M3" s="671"/>
      <c r="N3" s="671"/>
      <c r="O3" s="671"/>
      <c r="P3" s="671"/>
      <c r="Q3" s="671"/>
      <c r="R3" s="671"/>
      <c r="S3" s="671"/>
      <c r="T3" s="671"/>
      <c r="U3" s="671"/>
      <c r="V3" s="671"/>
      <c r="W3" s="671"/>
      <c r="Y3" s="671" t="s">
        <v>156</v>
      </c>
      <c r="Z3" s="671"/>
      <c r="AA3" s="671"/>
      <c r="AB3" s="671"/>
      <c r="AC3" s="671"/>
      <c r="AD3" s="671"/>
      <c r="AE3" s="671"/>
      <c r="AF3" s="671"/>
      <c r="AG3" s="671"/>
      <c r="AH3" s="671"/>
      <c r="AI3" s="671"/>
      <c r="AJ3" s="671"/>
      <c r="AK3" s="671"/>
      <c r="AL3" s="671"/>
      <c r="AM3" s="671"/>
      <c r="AN3" s="671"/>
      <c r="AO3" s="671"/>
      <c r="AP3" s="671"/>
      <c r="AQ3" s="671"/>
      <c r="AR3" s="671"/>
      <c r="AS3" s="672" cm="1">
        <f t="array" ref="AS3">SUM(数据表!BL14:BL23+数据表!BL25:BL34)</f>
        <v>0</v>
      </c>
      <c r="AT3" s="672"/>
      <c r="AV3" s="682" t="s">
        <v>4408</v>
      </c>
      <c r="AW3" s="682"/>
      <c r="AX3" s="682"/>
      <c r="AY3" s="682"/>
      <c r="AZ3" s="682"/>
      <c r="BA3" s="682"/>
      <c r="BB3" s="682"/>
      <c r="BC3" s="682"/>
      <c r="BD3" s="682"/>
      <c r="BE3" s="682"/>
      <c r="BF3" s="682"/>
      <c r="BG3" s="682"/>
      <c r="BH3" s="682"/>
      <c r="BI3" s="682"/>
      <c r="BJ3" s="682"/>
      <c r="BK3" s="682"/>
      <c r="BL3" s="682"/>
      <c r="BM3" s="682"/>
      <c r="BN3" s="682"/>
      <c r="BO3" s="682"/>
      <c r="BP3" s="682"/>
      <c r="BQ3" s="682"/>
    </row>
    <row r="4" spans="1:70" ht="16.95" customHeight="1" x14ac:dyDescent="0.35">
      <c r="B4" s="476" t="s">
        <v>2234</v>
      </c>
      <c r="C4" s="476"/>
      <c r="D4" s="476"/>
      <c r="E4" s="476"/>
      <c r="F4" s="462" t="s">
        <v>39</v>
      </c>
      <c r="G4" s="462"/>
      <c r="H4" s="462"/>
      <c r="I4" s="462"/>
      <c r="J4" s="462"/>
      <c r="K4" s="462"/>
      <c r="L4" s="462"/>
      <c r="M4" s="462"/>
      <c r="N4" s="462"/>
      <c r="O4" s="462"/>
      <c r="P4" s="462"/>
      <c r="Q4" s="462"/>
      <c r="R4" s="462"/>
      <c r="S4" s="462"/>
      <c r="T4" s="462"/>
      <c r="U4" s="462"/>
      <c r="V4" s="462" t="s">
        <v>2235</v>
      </c>
      <c r="W4" s="462"/>
      <c r="X4" s="126"/>
      <c r="Y4" s="476" t="s">
        <v>38</v>
      </c>
      <c r="Z4" s="476"/>
      <c r="AA4" s="476"/>
      <c r="AB4" s="476"/>
      <c r="AC4" s="476" t="s">
        <v>39</v>
      </c>
      <c r="AD4" s="476"/>
      <c r="AE4" s="476"/>
      <c r="AF4" s="476"/>
      <c r="AG4" s="476"/>
      <c r="AH4" s="476"/>
      <c r="AI4" s="476"/>
      <c r="AJ4" s="476"/>
      <c r="AK4" s="476"/>
      <c r="AL4" s="476"/>
      <c r="AM4" s="476"/>
      <c r="AN4" s="476"/>
      <c r="AO4" s="476"/>
      <c r="AP4" s="462" t="s">
        <v>2235</v>
      </c>
      <c r="AQ4" s="462"/>
      <c r="AR4" s="125"/>
      <c r="AS4" s="476" t="s">
        <v>2236</v>
      </c>
      <c r="AT4" s="476"/>
      <c r="AV4" s="685" t="s">
        <v>4414</v>
      </c>
      <c r="AW4" s="686"/>
      <c r="AX4" s="686"/>
      <c r="AY4" s="686"/>
      <c r="AZ4" s="686"/>
      <c r="BA4" s="686"/>
      <c r="BB4" s="686"/>
      <c r="BC4" s="686"/>
      <c r="BD4" s="686"/>
      <c r="BE4" s="686"/>
      <c r="BF4" s="686"/>
      <c r="BG4" s="687">
        <f>ROUND(SUM(BA6:BF45)-SUM(BL6:BQ45),2)</f>
        <v>0</v>
      </c>
      <c r="BH4" s="687"/>
      <c r="BI4" s="687"/>
      <c r="BJ4" s="687"/>
      <c r="BK4" s="687"/>
      <c r="BL4" s="687"/>
      <c r="BM4" s="687"/>
      <c r="BN4" s="687"/>
      <c r="BO4" s="687"/>
      <c r="BP4" s="687"/>
      <c r="BQ4" s="688"/>
    </row>
    <row r="5" spans="1:70" ht="16.95" customHeight="1" x14ac:dyDescent="0.35">
      <c r="B5" s="665"/>
      <c r="C5" s="666"/>
      <c r="D5" s="666"/>
      <c r="E5" s="667"/>
      <c r="F5" s="658"/>
      <c r="G5" s="658"/>
      <c r="H5" s="658"/>
      <c r="I5" s="658"/>
      <c r="J5" s="658"/>
      <c r="K5" s="658"/>
      <c r="L5" s="658"/>
      <c r="M5" s="658"/>
      <c r="N5" s="658"/>
      <c r="O5" s="658"/>
      <c r="P5" s="658"/>
      <c r="Q5" s="658"/>
      <c r="R5" s="658"/>
      <c r="S5" s="658"/>
      <c r="T5" s="658"/>
      <c r="U5" s="658"/>
      <c r="V5" s="678" t="str">
        <f>数据表!BN2</f>
        <v/>
      </c>
      <c r="W5" s="678"/>
      <c r="X5" s="126"/>
      <c r="Y5" s="665"/>
      <c r="Z5" s="666"/>
      <c r="AA5" s="666"/>
      <c r="AB5" s="667"/>
      <c r="AC5" s="658"/>
      <c r="AD5" s="658"/>
      <c r="AE5" s="658"/>
      <c r="AF5" s="658"/>
      <c r="AG5" s="658"/>
      <c r="AH5" s="658"/>
      <c r="AI5" s="658"/>
      <c r="AJ5" s="658"/>
      <c r="AK5" s="658"/>
      <c r="AL5" s="658"/>
      <c r="AM5" s="658"/>
      <c r="AN5" s="658"/>
      <c r="AO5" s="658"/>
      <c r="AP5" s="659"/>
      <c r="AQ5" s="659"/>
      <c r="AR5" s="125" t="s">
        <v>2237</v>
      </c>
      <c r="AS5" s="379"/>
      <c r="AT5" s="379"/>
      <c r="AV5" s="680" t="s">
        <v>4409</v>
      </c>
      <c r="AW5" s="681"/>
      <c r="AX5" s="681"/>
      <c r="AY5" s="681"/>
      <c r="AZ5" s="681"/>
      <c r="BA5" s="683" t="s">
        <v>4410</v>
      </c>
      <c r="BB5" s="683"/>
      <c r="BC5" s="683"/>
      <c r="BD5" s="683"/>
      <c r="BE5" s="683"/>
      <c r="BF5" s="683"/>
      <c r="BG5" s="683" t="s">
        <v>4411</v>
      </c>
      <c r="BH5" s="683"/>
      <c r="BI5" s="683"/>
      <c r="BJ5" s="683"/>
      <c r="BK5" s="683"/>
      <c r="BL5" s="683" t="s">
        <v>4412</v>
      </c>
      <c r="BM5" s="683"/>
      <c r="BN5" s="683"/>
      <c r="BO5" s="683"/>
      <c r="BP5" s="683"/>
      <c r="BQ5" s="684"/>
    </row>
    <row r="6" spans="1:70" ht="16.95" customHeight="1" x14ac:dyDescent="0.25">
      <c r="B6" s="660"/>
      <c r="C6" s="661"/>
      <c r="D6" s="661"/>
      <c r="E6" s="662"/>
      <c r="F6" s="663"/>
      <c r="G6" s="663"/>
      <c r="H6" s="663"/>
      <c r="I6" s="663"/>
      <c r="J6" s="663"/>
      <c r="K6" s="663"/>
      <c r="L6" s="663"/>
      <c r="M6" s="663"/>
      <c r="N6" s="663"/>
      <c r="O6" s="663"/>
      <c r="P6" s="663"/>
      <c r="Q6" s="663"/>
      <c r="R6" s="663"/>
      <c r="S6" s="663"/>
      <c r="T6" s="663"/>
      <c r="U6" s="663"/>
      <c r="V6" s="676" t="str">
        <f>数据表!BN3</f>
        <v/>
      </c>
      <c r="W6" s="676"/>
      <c r="Y6" s="660"/>
      <c r="Z6" s="661"/>
      <c r="AA6" s="661"/>
      <c r="AB6" s="662"/>
      <c r="AC6" s="663"/>
      <c r="AD6" s="663"/>
      <c r="AE6" s="663"/>
      <c r="AF6" s="663"/>
      <c r="AG6" s="663"/>
      <c r="AH6" s="663"/>
      <c r="AI6" s="663"/>
      <c r="AJ6" s="663"/>
      <c r="AK6" s="663"/>
      <c r="AL6" s="663"/>
      <c r="AM6" s="663"/>
      <c r="AN6" s="663"/>
      <c r="AO6" s="663"/>
      <c r="AP6" s="664"/>
      <c r="AQ6" s="664"/>
      <c r="AR6" s="125" t="s">
        <v>2237</v>
      </c>
      <c r="AS6" s="396"/>
      <c r="AT6" s="396"/>
      <c r="AV6" s="654" t="s">
        <v>4413</v>
      </c>
      <c r="AW6" s="654"/>
      <c r="AX6" s="654"/>
      <c r="AY6" s="654"/>
      <c r="AZ6" s="654"/>
      <c r="BA6" s="655"/>
      <c r="BB6" s="655"/>
      <c r="BC6" s="655"/>
      <c r="BD6" s="655"/>
      <c r="BE6" s="655"/>
      <c r="BF6" s="655"/>
      <c r="BG6" s="656"/>
      <c r="BH6" s="656"/>
      <c r="BI6" s="656"/>
      <c r="BJ6" s="656"/>
      <c r="BK6" s="656"/>
      <c r="BL6" s="657"/>
      <c r="BM6" s="657"/>
      <c r="BN6" s="657"/>
      <c r="BO6" s="657"/>
      <c r="BP6" s="657"/>
      <c r="BQ6" s="657"/>
    </row>
    <row r="7" spans="1:70" ht="16.95" customHeight="1" x14ac:dyDescent="0.25">
      <c r="B7" s="665"/>
      <c r="C7" s="666"/>
      <c r="D7" s="666"/>
      <c r="E7" s="667"/>
      <c r="F7" s="658"/>
      <c r="G7" s="658"/>
      <c r="H7" s="658"/>
      <c r="I7" s="658"/>
      <c r="J7" s="658"/>
      <c r="K7" s="658"/>
      <c r="L7" s="658"/>
      <c r="M7" s="658"/>
      <c r="N7" s="658"/>
      <c r="O7" s="658"/>
      <c r="P7" s="658"/>
      <c r="Q7" s="658"/>
      <c r="R7" s="658"/>
      <c r="S7" s="658"/>
      <c r="T7" s="658"/>
      <c r="U7" s="658"/>
      <c r="V7" s="678" t="str">
        <f>数据表!BN4</f>
        <v/>
      </c>
      <c r="W7" s="678"/>
      <c r="Y7" s="665"/>
      <c r="Z7" s="666"/>
      <c r="AA7" s="666"/>
      <c r="AB7" s="667"/>
      <c r="AC7" s="658"/>
      <c r="AD7" s="658"/>
      <c r="AE7" s="658"/>
      <c r="AF7" s="658"/>
      <c r="AG7" s="658"/>
      <c r="AH7" s="658"/>
      <c r="AI7" s="658"/>
      <c r="AJ7" s="658"/>
      <c r="AK7" s="658"/>
      <c r="AL7" s="658"/>
      <c r="AM7" s="658"/>
      <c r="AN7" s="658"/>
      <c r="AO7" s="658"/>
      <c r="AP7" s="659"/>
      <c r="AQ7" s="659"/>
      <c r="AR7" s="125" t="s">
        <v>2237</v>
      </c>
      <c r="AS7" s="379"/>
      <c r="AT7" s="379"/>
      <c r="AV7" s="654"/>
      <c r="AW7" s="654"/>
      <c r="AX7" s="654"/>
      <c r="AY7" s="654"/>
      <c r="AZ7" s="654"/>
      <c r="BA7" s="655"/>
      <c r="BB7" s="655"/>
      <c r="BC7" s="655"/>
      <c r="BD7" s="655"/>
      <c r="BE7" s="655"/>
      <c r="BF7" s="655"/>
      <c r="BG7" s="656"/>
      <c r="BH7" s="656"/>
      <c r="BI7" s="656"/>
      <c r="BJ7" s="656"/>
      <c r="BK7" s="656"/>
      <c r="BL7" s="657"/>
      <c r="BM7" s="657"/>
      <c r="BN7" s="657"/>
      <c r="BO7" s="657"/>
      <c r="BP7" s="657"/>
      <c r="BQ7" s="657"/>
    </row>
    <row r="8" spans="1:70" ht="16.95" customHeight="1" x14ac:dyDescent="0.25">
      <c r="B8" s="660"/>
      <c r="C8" s="661"/>
      <c r="D8" s="661"/>
      <c r="E8" s="662"/>
      <c r="F8" s="663"/>
      <c r="G8" s="663"/>
      <c r="H8" s="663"/>
      <c r="I8" s="663"/>
      <c r="J8" s="663"/>
      <c r="K8" s="663"/>
      <c r="L8" s="663"/>
      <c r="M8" s="663"/>
      <c r="N8" s="663"/>
      <c r="O8" s="663"/>
      <c r="P8" s="663"/>
      <c r="Q8" s="663"/>
      <c r="R8" s="663"/>
      <c r="S8" s="663"/>
      <c r="T8" s="663"/>
      <c r="U8" s="663"/>
      <c r="V8" s="676" t="str">
        <f>数据表!BN5</f>
        <v/>
      </c>
      <c r="W8" s="676"/>
      <c r="Y8" s="660"/>
      <c r="Z8" s="661"/>
      <c r="AA8" s="661"/>
      <c r="AB8" s="662"/>
      <c r="AC8" s="663"/>
      <c r="AD8" s="663"/>
      <c r="AE8" s="663"/>
      <c r="AF8" s="663"/>
      <c r="AG8" s="663"/>
      <c r="AH8" s="663"/>
      <c r="AI8" s="663"/>
      <c r="AJ8" s="663"/>
      <c r="AK8" s="663"/>
      <c r="AL8" s="663"/>
      <c r="AM8" s="663"/>
      <c r="AN8" s="663"/>
      <c r="AO8" s="663"/>
      <c r="AP8" s="664"/>
      <c r="AQ8" s="664"/>
      <c r="AR8" s="125" t="s">
        <v>2237</v>
      </c>
      <c r="AS8" s="396"/>
      <c r="AT8" s="396"/>
      <c r="AV8" s="654"/>
      <c r="AW8" s="654"/>
      <c r="AX8" s="654"/>
      <c r="AY8" s="654"/>
      <c r="AZ8" s="654"/>
      <c r="BA8" s="655"/>
      <c r="BB8" s="655"/>
      <c r="BC8" s="655"/>
      <c r="BD8" s="655"/>
      <c r="BE8" s="655"/>
      <c r="BF8" s="655"/>
      <c r="BG8" s="656"/>
      <c r="BH8" s="656"/>
      <c r="BI8" s="656"/>
      <c r="BJ8" s="656"/>
      <c r="BK8" s="656"/>
      <c r="BL8" s="657"/>
      <c r="BM8" s="657"/>
      <c r="BN8" s="657"/>
      <c r="BO8" s="657"/>
      <c r="BP8" s="657"/>
      <c r="BQ8" s="657"/>
    </row>
    <row r="9" spans="1:70" ht="16.95" customHeight="1" x14ac:dyDescent="0.25">
      <c r="B9" s="665"/>
      <c r="C9" s="666"/>
      <c r="D9" s="666"/>
      <c r="E9" s="667"/>
      <c r="F9" s="658"/>
      <c r="G9" s="658"/>
      <c r="H9" s="658"/>
      <c r="I9" s="658"/>
      <c r="J9" s="658"/>
      <c r="K9" s="658"/>
      <c r="L9" s="658"/>
      <c r="M9" s="658"/>
      <c r="N9" s="658"/>
      <c r="O9" s="658"/>
      <c r="P9" s="658"/>
      <c r="Q9" s="658"/>
      <c r="R9" s="658"/>
      <c r="S9" s="658"/>
      <c r="T9" s="658"/>
      <c r="U9" s="658"/>
      <c r="V9" s="678" t="str">
        <f>数据表!BN6</f>
        <v/>
      </c>
      <c r="W9" s="678"/>
      <c r="Y9" s="665"/>
      <c r="Z9" s="666"/>
      <c r="AA9" s="666"/>
      <c r="AB9" s="667"/>
      <c r="AC9" s="658"/>
      <c r="AD9" s="658"/>
      <c r="AE9" s="658"/>
      <c r="AF9" s="658"/>
      <c r="AG9" s="658"/>
      <c r="AH9" s="658"/>
      <c r="AI9" s="658"/>
      <c r="AJ9" s="658"/>
      <c r="AK9" s="658"/>
      <c r="AL9" s="658"/>
      <c r="AM9" s="658"/>
      <c r="AN9" s="658"/>
      <c r="AO9" s="658"/>
      <c r="AP9" s="659"/>
      <c r="AQ9" s="659"/>
      <c r="AR9" s="125" t="s">
        <v>2237</v>
      </c>
      <c r="AS9" s="379"/>
      <c r="AT9" s="379"/>
      <c r="AV9" s="654"/>
      <c r="AW9" s="654"/>
      <c r="AX9" s="654"/>
      <c r="AY9" s="654"/>
      <c r="AZ9" s="654"/>
      <c r="BA9" s="655"/>
      <c r="BB9" s="655"/>
      <c r="BC9" s="655"/>
      <c r="BD9" s="655"/>
      <c r="BE9" s="655"/>
      <c r="BF9" s="655"/>
      <c r="BG9" s="656"/>
      <c r="BH9" s="656"/>
      <c r="BI9" s="656"/>
      <c r="BJ9" s="656"/>
      <c r="BK9" s="656"/>
      <c r="BL9" s="657"/>
      <c r="BM9" s="657"/>
      <c r="BN9" s="657"/>
      <c r="BO9" s="657"/>
      <c r="BP9" s="657"/>
      <c r="BQ9" s="657"/>
    </row>
    <row r="10" spans="1:70" ht="16.95" customHeight="1" x14ac:dyDescent="0.25">
      <c r="B10" s="660"/>
      <c r="C10" s="661"/>
      <c r="D10" s="661"/>
      <c r="E10" s="662"/>
      <c r="F10" s="663"/>
      <c r="G10" s="663"/>
      <c r="H10" s="663"/>
      <c r="I10" s="663"/>
      <c r="J10" s="663"/>
      <c r="K10" s="663"/>
      <c r="L10" s="663"/>
      <c r="M10" s="663"/>
      <c r="N10" s="663"/>
      <c r="O10" s="663"/>
      <c r="P10" s="663"/>
      <c r="Q10" s="663"/>
      <c r="R10" s="663"/>
      <c r="S10" s="663"/>
      <c r="T10" s="663"/>
      <c r="U10" s="663"/>
      <c r="V10" s="676" t="str">
        <f>数据表!BN7</f>
        <v/>
      </c>
      <c r="W10" s="676"/>
      <c r="Y10" s="660"/>
      <c r="Z10" s="661"/>
      <c r="AA10" s="661"/>
      <c r="AB10" s="662"/>
      <c r="AC10" s="668"/>
      <c r="AD10" s="668"/>
      <c r="AE10" s="668"/>
      <c r="AF10" s="668"/>
      <c r="AG10" s="668"/>
      <c r="AH10" s="668"/>
      <c r="AI10" s="668"/>
      <c r="AJ10" s="668"/>
      <c r="AK10" s="668"/>
      <c r="AL10" s="668"/>
      <c r="AM10" s="668"/>
      <c r="AN10" s="668"/>
      <c r="AO10" s="668"/>
      <c r="AP10" s="664"/>
      <c r="AQ10" s="664"/>
      <c r="AR10" s="125" t="s">
        <v>2237</v>
      </c>
      <c r="AS10" s="390"/>
      <c r="AT10" s="390"/>
      <c r="AV10" s="654"/>
      <c r="AW10" s="654"/>
      <c r="AX10" s="654"/>
      <c r="AY10" s="654"/>
      <c r="AZ10" s="654"/>
      <c r="BA10" s="655"/>
      <c r="BB10" s="655"/>
      <c r="BC10" s="655"/>
      <c r="BD10" s="655"/>
      <c r="BE10" s="655"/>
      <c r="BF10" s="655"/>
      <c r="BG10" s="656"/>
      <c r="BH10" s="656"/>
      <c r="BI10" s="656"/>
      <c r="BJ10" s="656"/>
      <c r="BK10" s="656"/>
      <c r="BL10" s="657"/>
      <c r="BM10" s="657"/>
      <c r="BN10" s="657"/>
      <c r="BO10" s="657"/>
      <c r="BP10" s="657"/>
      <c r="BQ10" s="657"/>
    </row>
    <row r="11" spans="1:70" ht="16.95" customHeight="1" x14ac:dyDescent="0.25">
      <c r="B11" s="665"/>
      <c r="C11" s="666"/>
      <c r="D11" s="666"/>
      <c r="E11" s="667"/>
      <c r="F11" s="658"/>
      <c r="G11" s="658"/>
      <c r="H11" s="658"/>
      <c r="I11" s="658"/>
      <c r="J11" s="658"/>
      <c r="K11" s="658"/>
      <c r="L11" s="658"/>
      <c r="M11" s="658"/>
      <c r="N11" s="658"/>
      <c r="O11" s="658"/>
      <c r="P11" s="658"/>
      <c r="Q11" s="658"/>
      <c r="R11" s="658"/>
      <c r="S11" s="658"/>
      <c r="T11" s="658"/>
      <c r="U11" s="658"/>
      <c r="V11" s="678" t="str">
        <f>数据表!BN8</f>
        <v/>
      </c>
      <c r="W11" s="678"/>
      <c r="Y11" s="665"/>
      <c r="Z11" s="666"/>
      <c r="AA11" s="666"/>
      <c r="AB11" s="667"/>
      <c r="AC11" s="658"/>
      <c r="AD11" s="658"/>
      <c r="AE11" s="658"/>
      <c r="AF11" s="658"/>
      <c r="AG11" s="658"/>
      <c r="AH11" s="658"/>
      <c r="AI11" s="658"/>
      <c r="AJ11" s="658"/>
      <c r="AK11" s="658"/>
      <c r="AL11" s="658"/>
      <c r="AM11" s="658"/>
      <c r="AN11" s="658"/>
      <c r="AO11" s="658"/>
      <c r="AP11" s="659"/>
      <c r="AQ11" s="659"/>
      <c r="AR11" s="125" t="s">
        <v>2237</v>
      </c>
      <c r="AS11" s="379"/>
      <c r="AT11" s="379"/>
      <c r="AV11" s="654"/>
      <c r="AW11" s="654"/>
      <c r="AX11" s="654"/>
      <c r="AY11" s="654"/>
      <c r="AZ11" s="654"/>
      <c r="BA11" s="655"/>
      <c r="BB11" s="655"/>
      <c r="BC11" s="655"/>
      <c r="BD11" s="655"/>
      <c r="BE11" s="655"/>
      <c r="BF11" s="655"/>
      <c r="BG11" s="656"/>
      <c r="BH11" s="656"/>
      <c r="BI11" s="656"/>
      <c r="BJ11" s="656"/>
      <c r="BK11" s="656"/>
      <c r="BL11" s="657"/>
      <c r="BM11" s="657"/>
      <c r="BN11" s="657"/>
      <c r="BO11" s="657"/>
      <c r="BP11" s="657"/>
      <c r="BQ11" s="657"/>
    </row>
    <row r="12" spans="1:70" ht="16.95" customHeight="1" x14ac:dyDescent="0.25">
      <c r="B12" s="660"/>
      <c r="C12" s="661"/>
      <c r="D12" s="661"/>
      <c r="E12" s="662"/>
      <c r="F12" s="663"/>
      <c r="G12" s="663"/>
      <c r="H12" s="663"/>
      <c r="I12" s="663"/>
      <c r="J12" s="663"/>
      <c r="K12" s="663"/>
      <c r="L12" s="663"/>
      <c r="M12" s="663"/>
      <c r="N12" s="663"/>
      <c r="O12" s="663"/>
      <c r="P12" s="663"/>
      <c r="Q12" s="663"/>
      <c r="R12" s="663"/>
      <c r="S12" s="663"/>
      <c r="T12" s="663"/>
      <c r="U12" s="663"/>
      <c r="V12" s="676" t="str">
        <f>数据表!BN9</f>
        <v/>
      </c>
      <c r="W12" s="676"/>
      <c r="Y12" s="660"/>
      <c r="Z12" s="661"/>
      <c r="AA12" s="661"/>
      <c r="AB12" s="662"/>
      <c r="AC12" s="663"/>
      <c r="AD12" s="663"/>
      <c r="AE12" s="663"/>
      <c r="AF12" s="663"/>
      <c r="AG12" s="663"/>
      <c r="AH12" s="663"/>
      <c r="AI12" s="663"/>
      <c r="AJ12" s="663"/>
      <c r="AK12" s="663"/>
      <c r="AL12" s="663"/>
      <c r="AM12" s="663"/>
      <c r="AN12" s="663"/>
      <c r="AO12" s="663"/>
      <c r="AP12" s="664"/>
      <c r="AQ12" s="664"/>
      <c r="AR12" s="125" t="s">
        <v>2237</v>
      </c>
      <c r="AS12" s="396"/>
      <c r="AT12" s="396"/>
      <c r="AV12" s="654"/>
      <c r="AW12" s="654"/>
      <c r="AX12" s="654"/>
      <c r="AY12" s="654"/>
      <c r="AZ12" s="654"/>
      <c r="BA12" s="655"/>
      <c r="BB12" s="655"/>
      <c r="BC12" s="655"/>
      <c r="BD12" s="655"/>
      <c r="BE12" s="655"/>
      <c r="BF12" s="655"/>
      <c r="BG12" s="656"/>
      <c r="BH12" s="656"/>
      <c r="BI12" s="656"/>
      <c r="BJ12" s="656"/>
      <c r="BK12" s="656"/>
      <c r="BL12" s="657"/>
      <c r="BM12" s="657"/>
      <c r="BN12" s="657"/>
      <c r="BO12" s="657"/>
      <c r="BP12" s="657"/>
      <c r="BQ12" s="657"/>
    </row>
    <row r="13" spans="1:70" ht="16.95" customHeight="1" x14ac:dyDescent="0.25">
      <c r="B13" s="665"/>
      <c r="C13" s="666"/>
      <c r="D13" s="666"/>
      <c r="E13" s="667"/>
      <c r="F13" s="658"/>
      <c r="G13" s="658"/>
      <c r="H13" s="658"/>
      <c r="I13" s="658"/>
      <c r="J13" s="658"/>
      <c r="K13" s="658"/>
      <c r="L13" s="658"/>
      <c r="M13" s="658"/>
      <c r="N13" s="658"/>
      <c r="O13" s="658"/>
      <c r="P13" s="658"/>
      <c r="Q13" s="658"/>
      <c r="R13" s="658"/>
      <c r="S13" s="658"/>
      <c r="T13" s="658"/>
      <c r="U13" s="658"/>
      <c r="V13" s="678" t="str">
        <f>数据表!BN10</f>
        <v/>
      </c>
      <c r="W13" s="678"/>
      <c r="Y13" s="665"/>
      <c r="Z13" s="666"/>
      <c r="AA13" s="666"/>
      <c r="AB13" s="667"/>
      <c r="AC13" s="658"/>
      <c r="AD13" s="658"/>
      <c r="AE13" s="658"/>
      <c r="AF13" s="658"/>
      <c r="AG13" s="658"/>
      <c r="AH13" s="658"/>
      <c r="AI13" s="658"/>
      <c r="AJ13" s="658"/>
      <c r="AK13" s="658"/>
      <c r="AL13" s="658"/>
      <c r="AM13" s="658"/>
      <c r="AN13" s="658"/>
      <c r="AO13" s="658"/>
      <c r="AP13" s="659"/>
      <c r="AQ13" s="659"/>
      <c r="AR13" s="125" t="s">
        <v>2237</v>
      </c>
      <c r="AS13" s="379"/>
      <c r="AT13" s="379"/>
      <c r="AV13" s="654"/>
      <c r="AW13" s="654"/>
      <c r="AX13" s="654"/>
      <c r="AY13" s="654"/>
      <c r="AZ13" s="654"/>
      <c r="BA13" s="655"/>
      <c r="BB13" s="655"/>
      <c r="BC13" s="655"/>
      <c r="BD13" s="655"/>
      <c r="BE13" s="655"/>
      <c r="BF13" s="655"/>
      <c r="BG13" s="656"/>
      <c r="BH13" s="656"/>
      <c r="BI13" s="656"/>
      <c r="BJ13" s="656"/>
      <c r="BK13" s="656"/>
      <c r="BL13" s="657"/>
      <c r="BM13" s="657"/>
      <c r="BN13" s="657"/>
      <c r="BO13" s="657"/>
      <c r="BP13" s="657"/>
      <c r="BQ13" s="657"/>
    </row>
    <row r="14" spans="1:70" ht="16.95" customHeight="1" x14ac:dyDescent="0.25">
      <c r="B14" s="660"/>
      <c r="C14" s="661"/>
      <c r="D14" s="661"/>
      <c r="E14" s="662"/>
      <c r="F14" s="663"/>
      <c r="G14" s="663"/>
      <c r="H14" s="663"/>
      <c r="I14" s="663"/>
      <c r="J14" s="663"/>
      <c r="K14" s="663"/>
      <c r="L14" s="663"/>
      <c r="M14" s="663"/>
      <c r="N14" s="663"/>
      <c r="O14" s="663"/>
      <c r="P14" s="663"/>
      <c r="Q14" s="663"/>
      <c r="R14" s="663"/>
      <c r="S14" s="663"/>
      <c r="T14" s="663"/>
      <c r="U14" s="663"/>
      <c r="V14" s="676" t="str">
        <f>数据表!BN11</f>
        <v/>
      </c>
      <c r="W14" s="676"/>
      <c r="Y14" s="660"/>
      <c r="Z14" s="661"/>
      <c r="AA14" s="661"/>
      <c r="AB14" s="662"/>
      <c r="AC14" s="663"/>
      <c r="AD14" s="663"/>
      <c r="AE14" s="663"/>
      <c r="AF14" s="663"/>
      <c r="AG14" s="663"/>
      <c r="AH14" s="663"/>
      <c r="AI14" s="663"/>
      <c r="AJ14" s="663"/>
      <c r="AK14" s="663"/>
      <c r="AL14" s="663"/>
      <c r="AM14" s="663"/>
      <c r="AN14" s="663"/>
      <c r="AO14" s="663"/>
      <c r="AP14" s="664"/>
      <c r="AQ14" s="664"/>
      <c r="AR14" s="125" t="s">
        <v>2237</v>
      </c>
      <c r="AS14" s="396"/>
      <c r="AT14" s="396"/>
      <c r="AV14" s="654"/>
      <c r="AW14" s="654"/>
      <c r="AX14" s="654"/>
      <c r="AY14" s="654"/>
      <c r="AZ14" s="654"/>
      <c r="BA14" s="655"/>
      <c r="BB14" s="655"/>
      <c r="BC14" s="655"/>
      <c r="BD14" s="655"/>
      <c r="BE14" s="655"/>
      <c r="BF14" s="655"/>
      <c r="BG14" s="656"/>
      <c r="BH14" s="656"/>
      <c r="BI14" s="656"/>
      <c r="BJ14" s="656"/>
      <c r="BK14" s="656"/>
      <c r="BL14" s="657"/>
      <c r="BM14" s="657"/>
      <c r="BN14" s="657"/>
      <c r="BO14" s="657"/>
      <c r="BP14" s="657"/>
      <c r="BQ14" s="657"/>
    </row>
    <row r="15" spans="1:70" ht="16.95" customHeight="1" x14ac:dyDescent="0.35">
      <c r="B15" s="476" t="s">
        <v>209</v>
      </c>
      <c r="C15" s="476"/>
      <c r="D15" s="476"/>
      <c r="E15" s="476"/>
      <c r="F15" s="462" t="s">
        <v>70</v>
      </c>
      <c r="G15" s="462"/>
      <c r="H15" s="462" t="s">
        <v>210</v>
      </c>
      <c r="I15" s="462"/>
      <c r="J15" s="462"/>
      <c r="K15" s="462"/>
      <c r="L15" s="462"/>
      <c r="M15" s="462"/>
      <c r="N15" s="462"/>
      <c r="O15" s="462"/>
      <c r="P15" s="462"/>
      <c r="Q15" s="462" t="s">
        <v>211</v>
      </c>
      <c r="R15" s="462"/>
      <c r="S15" s="462"/>
      <c r="T15" s="462"/>
      <c r="U15" s="462"/>
      <c r="V15" s="462" t="s">
        <v>2235</v>
      </c>
      <c r="W15" s="462"/>
      <c r="Y15" s="476"/>
      <c r="Z15" s="476"/>
      <c r="AA15" s="476"/>
      <c r="AB15" s="476"/>
      <c r="AC15" s="476"/>
      <c r="AD15" s="476"/>
      <c r="AE15" s="476"/>
      <c r="AF15" s="476"/>
      <c r="AG15" s="476"/>
      <c r="AH15" s="476"/>
      <c r="AI15" s="476"/>
      <c r="AJ15" s="476"/>
      <c r="AK15" s="476"/>
      <c r="AL15" s="476"/>
      <c r="AM15" s="476"/>
      <c r="AN15" s="476"/>
      <c r="AO15" s="476"/>
      <c r="AP15" s="462"/>
      <c r="AQ15" s="462"/>
      <c r="AR15" s="125"/>
      <c r="AS15" s="476" t="s">
        <v>2236</v>
      </c>
      <c r="AT15" s="476"/>
      <c r="AV15" s="654"/>
      <c r="AW15" s="654"/>
      <c r="AX15" s="654"/>
      <c r="AY15" s="654"/>
      <c r="AZ15" s="654"/>
      <c r="BA15" s="655"/>
      <c r="BB15" s="655"/>
      <c r="BC15" s="655"/>
      <c r="BD15" s="655"/>
      <c r="BE15" s="655"/>
      <c r="BF15" s="655"/>
      <c r="BG15" s="656"/>
      <c r="BH15" s="656"/>
      <c r="BI15" s="656"/>
      <c r="BJ15" s="656"/>
      <c r="BK15" s="656"/>
      <c r="BL15" s="657"/>
      <c r="BM15" s="657"/>
      <c r="BN15" s="657"/>
      <c r="BO15" s="657"/>
      <c r="BP15" s="657"/>
      <c r="BQ15" s="657"/>
    </row>
    <row r="16" spans="1:70" ht="16.95" customHeight="1" x14ac:dyDescent="0.25">
      <c r="B16" s="665"/>
      <c r="C16" s="666"/>
      <c r="D16" s="666"/>
      <c r="E16" s="667"/>
      <c r="F16" s="677" t="str">
        <f>数据表!BX2</f>
        <v/>
      </c>
      <c r="G16" s="677"/>
      <c r="H16" s="579"/>
      <c r="I16" s="579"/>
      <c r="J16" s="579"/>
      <c r="K16" s="579"/>
      <c r="L16" s="579"/>
      <c r="M16" s="579"/>
      <c r="N16" s="579"/>
      <c r="O16" s="579"/>
      <c r="P16" s="579"/>
      <c r="Q16" s="579"/>
      <c r="R16" s="579"/>
      <c r="S16" s="579"/>
      <c r="T16" s="579"/>
      <c r="U16" s="579"/>
      <c r="V16" s="678" t="str">
        <f>数据表!CA2</f>
        <v/>
      </c>
      <c r="W16" s="678"/>
      <c r="Y16" s="665"/>
      <c r="Z16" s="666"/>
      <c r="AA16" s="666"/>
      <c r="AB16" s="667"/>
      <c r="AC16" s="658"/>
      <c r="AD16" s="658"/>
      <c r="AE16" s="658"/>
      <c r="AF16" s="658"/>
      <c r="AG16" s="658"/>
      <c r="AH16" s="658"/>
      <c r="AI16" s="658"/>
      <c r="AJ16" s="658"/>
      <c r="AK16" s="658"/>
      <c r="AL16" s="658"/>
      <c r="AM16" s="658"/>
      <c r="AN16" s="658"/>
      <c r="AO16" s="658"/>
      <c r="AP16" s="659"/>
      <c r="AQ16" s="659"/>
      <c r="AR16" s="125" t="s">
        <v>2237</v>
      </c>
      <c r="AS16" s="379"/>
      <c r="AT16" s="379"/>
      <c r="AV16" s="654"/>
      <c r="AW16" s="654"/>
      <c r="AX16" s="654"/>
      <c r="AY16" s="654"/>
      <c r="AZ16" s="654"/>
      <c r="BA16" s="655"/>
      <c r="BB16" s="655"/>
      <c r="BC16" s="655"/>
      <c r="BD16" s="655"/>
      <c r="BE16" s="655"/>
      <c r="BF16" s="655"/>
      <c r="BG16" s="656"/>
      <c r="BH16" s="656"/>
      <c r="BI16" s="656"/>
      <c r="BJ16" s="656"/>
      <c r="BK16" s="656"/>
      <c r="BL16" s="657"/>
      <c r="BM16" s="657"/>
      <c r="BN16" s="657"/>
      <c r="BO16" s="657"/>
      <c r="BP16" s="657"/>
      <c r="BQ16" s="657"/>
    </row>
    <row r="17" spans="2:69" ht="16.95" customHeight="1" x14ac:dyDescent="0.25">
      <c r="B17" s="660"/>
      <c r="C17" s="661"/>
      <c r="D17" s="661"/>
      <c r="E17" s="662"/>
      <c r="F17" s="674" t="str">
        <f>数据表!BX3</f>
        <v/>
      </c>
      <c r="G17" s="674"/>
      <c r="H17" s="675"/>
      <c r="I17" s="675"/>
      <c r="J17" s="675"/>
      <c r="K17" s="675"/>
      <c r="L17" s="675"/>
      <c r="M17" s="675"/>
      <c r="N17" s="675"/>
      <c r="O17" s="675"/>
      <c r="P17" s="675"/>
      <c r="Q17" s="675"/>
      <c r="R17" s="675"/>
      <c r="S17" s="675"/>
      <c r="T17" s="675"/>
      <c r="U17" s="675"/>
      <c r="V17" s="676" t="str">
        <f>数据表!CA3</f>
        <v/>
      </c>
      <c r="W17" s="676"/>
      <c r="Y17" s="660"/>
      <c r="Z17" s="661"/>
      <c r="AA17" s="661"/>
      <c r="AB17" s="662"/>
      <c r="AC17" s="663"/>
      <c r="AD17" s="663"/>
      <c r="AE17" s="663"/>
      <c r="AF17" s="663"/>
      <c r="AG17" s="663"/>
      <c r="AH17" s="663"/>
      <c r="AI17" s="663"/>
      <c r="AJ17" s="663"/>
      <c r="AK17" s="663"/>
      <c r="AL17" s="663"/>
      <c r="AM17" s="663"/>
      <c r="AN17" s="663"/>
      <c r="AO17" s="663"/>
      <c r="AP17" s="664"/>
      <c r="AQ17" s="664"/>
      <c r="AR17" s="125" t="s">
        <v>2237</v>
      </c>
      <c r="AS17" s="396"/>
      <c r="AT17" s="396"/>
      <c r="AV17" s="654"/>
      <c r="AW17" s="654"/>
      <c r="AX17" s="654"/>
      <c r="AY17" s="654"/>
      <c r="AZ17" s="654"/>
      <c r="BA17" s="655"/>
      <c r="BB17" s="655"/>
      <c r="BC17" s="655"/>
      <c r="BD17" s="655"/>
      <c r="BE17" s="655"/>
      <c r="BF17" s="655"/>
      <c r="BG17" s="656"/>
      <c r="BH17" s="656"/>
      <c r="BI17" s="656"/>
      <c r="BJ17" s="656"/>
      <c r="BK17" s="656"/>
      <c r="BL17" s="657"/>
      <c r="BM17" s="657"/>
      <c r="BN17" s="657"/>
      <c r="BO17" s="657"/>
      <c r="BP17" s="657"/>
      <c r="BQ17" s="657"/>
    </row>
    <row r="18" spans="2:69" ht="16.95" customHeight="1" x14ac:dyDescent="0.25">
      <c r="B18" s="665"/>
      <c r="C18" s="666"/>
      <c r="D18" s="666"/>
      <c r="E18" s="667"/>
      <c r="F18" s="677" t="str">
        <f>数据表!BX4</f>
        <v/>
      </c>
      <c r="G18" s="677"/>
      <c r="H18" s="579"/>
      <c r="I18" s="579"/>
      <c r="J18" s="579"/>
      <c r="K18" s="579"/>
      <c r="L18" s="579"/>
      <c r="M18" s="579"/>
      <c r="N18" s="579"/>
      <c r="O18" s="579"/>
      <c r="P18" s="579"/>
      <c r="Q18" s="579"/>
      <c r="R18" s="579"/>
      <c r="S18" s="579"/>
      <c r="T18" s="579"/>
      <c r="U18" s="579"/>
      <c r="V18" s="678" t="str">
        <f>数据表!CA4</f>
        <v/>
      </c>
      <c r="W18" s="678"/>
      <c r="Y18" s="665"/>
      <c r="Z18" s="666"/>
      <c r="AA18" s="666"/>
      <c r="AB18" s="667"/>
      <c r="AC18" s="658"/>
      <c r="AD18" s="658"/>
      <c r="AE18" s="658"/>
      <c r="AF18" s="658"/>
      <c r="AG18" s="658"/>
      <c r="AH18" s="658"/>
      <c r="AI18" s="658"/>
      <c r="AJ18" s="658"/>
      <c r="AK18" s="658"/>
      <c r="AL18" s="658"/>
      <c r="AM18" s="658"/>
      <c r="AN18" s="658"/>
      <c r="AO18" s="658"/>
      <c r="AP18" s="659"/>
      <c r="AQ18" s="659"/>
      <c r="AR18" s="125" t="s">
        <v>2237</v>
      </c>
      <c r="AS18" s="379"/>
      <c r="AT18" s="379"/>
      <c r="AV18" s="654"/>
      <c r="AW18" s="654"/>
      <c r="AX18" s="654"/>
      <c r="AY18" s="654"/>
      <c r="AZ18" s="654"/>
      <c r="BA18" s="655"/>
      <c r="BB18" s="655"/>
      <c r="BC18" s="655"/>
      <c r="BD18" s="655"/>
      <c r="BE18" s="655"/>
      <c r="BF18" s="655"/>
      <c r="BG18" s="656"/>
      <c r="BH18" s="656"/>
      <c r="BI18" s="656"/>
      <c r="BJ18" s="656"/>
      <c r="BK18" s="656"/>
      <c r="BL18" s="657"/>
      <c r="BM18" s="657"/>
      <c r="BN18" s="657"/>
      <c r="BO18" s="657"/>
      <c r="BP18" s="657"/>
      <c r="BQ18" s="657"/>
    </row>
    <row r="19" spans="2:69" ht="16.95" customHeight="1" x14ac:dyDescent="0.25">
      <c r="B19" s="660"/>
      <c r="C19" s="661"/>
      <c r="D19" s="661"/>
      <c r="E19" s="662"/>
      <c r="F19" s="674" t="str">
        <f>数据表!BX5</f>
        <v/>
      </c>
      <c r="G19" s="674"/>
      <c r="H19" s="675"/>
      <c r="I19" s="675"/>
      <c r="J19" s="675"/>
      <c r="K19" s="675"/>
      <c r="L19" s="675"/>
      <c r="M19" s="675"/>
      <c r="N19" s="675"/>
      <c r="O19" s="675"/>
      <c r="P19" s="675"/>
      <c r="Q19" s="675"/>
      <c r="R19" s="675"/>
      <c r="S19" s="675"/>
      <c r="T19" s="675"/>
      <c r="U19" s="675"/>
      <c r="V19" s="676" t="str">
        <f>数据表!CA5</f>
        <v/>
      </c>
      <c r="W19" s="676"/>
      <c r="Y19" s="660"/>
      <c r="Z19" s="661"/>
      <c r="AA19" s="661"/>
      <c r="AB19" s="662"/>
      <c r="AC19" s="663"/>
      <c r="AD19" s="663"/>
      <c r="AE19" s="663"/>
      <c r="AF19" s="663"/>
      <c r="AG19" s="663"/>
      <c r="AH19" s="663"/>
      <c r="AI19" s="663"/>
      <c r="AJ19" s="663"/>
      <c r="AK19" s="663"/>
      <c r="AL19" s="663"/>
      <c r="AM19" s="663"/>
      <c r="AN19" s="663"/>
      <c r="AO19" s="663"/>
      <c r="AP19" s="664"/>
      <c r="AQ19" s="664"/>
      <c r="AR19" s="125" t="s">
        <v>2237</v>
      </c>
      <c r="AS19" s="396"/>
      <c r="AT19" s="396"/>
      <c r="AV19" s="654"/>
      <c r="AW19" s="654"/>
      <c r="AX19" s="654"/>
      <c r="AY19" s="654"/>
      <c r="AZ19" s="654"/>
      <c r="BA19" s="655"/>
      <c r="BB19" s="655"/>
      <c r="BC19" s="655"/>
      <c r="BD19" s="655"/>
      <c r="BE19" s="655"/>
      <c r="BF19" s="655"/>
      <c r="BG19" s="656"/>
      <c r="BH19" s="656"/>
      <c r="BI19" s="656"/>
      <c r="BJ19" s="656"/>
      <c r="BK19" s="656"/>
      <c r="BL19" s="657"/>
      <c r="BM19" s="657"/>
      <c r="BN19" s="657"/>
      <c r="BO19" s="657"/>
      <c r="BP19" s="657"/>
      <c r="BQ19" s="657"/>
    </row>
    <row r="20" spans="2:69" ht="16.95" customHeight="1" x14ac:dyDescent="0.25">
      <c r="B20" s="665"/>
      <c r="C20" s="666"/>
      <c r="D20" s="666"/>
      <c r="E20" s="667"/>
      <c r="F20" s="677" t="str">
        <f>数据表!BX6</f>
        <v/>
      </c>
      <c r="G20" s="677"/>
      <c r="H20" s="579"/>
      <c r="I20" s="579"/>
      <c r="J20" s="579"/>
      <c r="K20" s="579"/>
      <c r="L20" s="579"/>
      <c r="M20" s="579"/>
      <c r="N20" s="579"/>
      <c r="O20" s="579"/>
      <c r="P20" s="579"/>
      <c r="Q20" s="579"/>
      <c r="R20" s="579"/>
      <c r="S20" s="579"/>
      <c r="T20" s="579"/>
      <c r="U20" s="579"/>
      <c r="V20" s="678" t="str">
        <f>数据表!CA6</f>
        <v/>
      </c>
      <c r="W20" s="678"/>
      <c r="Y20" s="665"/>
      <c r="Z20" s="666"/>
      <c r="AA20" s="666"/>
      <c r="AB20" s="667"/>
      <c r="AC20" s="658"/>
      <c r="AD20" s="658"/>
      <c r="AE20" s="658"/>
      <c r="AF20" s="658"/>
      <c r="AG20" s="658"/>
      <c r="AH20" s="658"/>
      <c r="AI20" s="658"/>
      <c r="AJ20" s="658"/>
      <c r="AK20" s="658"/>
      <c r="AL20" s="658"/>
      <c r="AM20" s="658"/>
      <c r="AN20" s="658"/>
      <c r="AO20" s="658"/>
      <c r="AP20" s="659"/>
      <c r="AQ20" s="659"/>
      <c r="AR20" s="125" t="s">
        <v>2237</v>
      </c>
      <c r="AS20" s="379"/>
      <c r="AT20" s="379"/>
      <c r="AV20" s="654"/>
      <c r="AW20" s="654"/>
      <c r="AX20" s="654"/>
      <c r="AY20" s="654"/>
      <c r="AZ20" s="654"/>
      <c r="BA20" s="655"/>
      <c r="BB20" s="655"/>
      <c r="BC20" s="655"/>
      <c r="BD20" s="655"/>
      <c r="BE20" s="655"/>
      <c r="BF20" s="655"/>
      <c r="BG20" s="656"/>
      <c r="BH20" s="656"/>
      <c r="BI20" s="656"/>
      <c r="BJ20" s="656"/>
      <c r="BK20" s="656"/>
      <c r="BL20" s="657"/>
      <c r="BM20" s="657"/>
      <c r="BN20" s="657"/>
      <c r="BO20" s="657"/>
      <c r="BP20" s="657"/>
      <c r="BQ20" s="657"/>
    </row>
    <row r="21" spans="2:69" ht="16.95" customHeight="1" x14ac:dyDescent="0.25">
      <c r="B21" s="660"/>
      <c r="C21" s="661"/>
      <c r="D21" s="661"/>
      <c r="E21" s="662"/>
      <c r="F21" s="674" t="str">
        <f>数据表!BX7</f>
        <v/>
      </c>
      <c r="G21" s="674"/>
      <c r="H21" s="675"/>
      <c r="I21" s="675"/>
      <c r="J21" s="675"/>
      <c r="K21" s="675"/>
      <c r="L21" s="675"/>
      <c r="M21" s="675"/>
      <c r="N21" s="675"/>
      <c r="O21" s="675"/>
      <c r="P21" s="675"/>
      <c r="Q21" s="675"/>
      <c r="R21" s="675"/>
      <c r="S21" s="675"/>
      <c r="T21" s="675"/>
      <c r="U21" s="675"/>
      <c r="V21" s="676" t="str">
        <f>数据表!CA7</f>
        <v/>
      </c>
      <c r="W21" s="676"/>
      <c r="Y21" s="660"/>
      <c r="Z21" s="661"/>
      <c r="AA21" s="661"/>
      <c r="AB21" s="662"/>
      <c r="AC21" s="668"/>
      <c r="AD21" s="668"/>
      <c r="AE21" s="668"/>
      <c r="AF21" s="668"/>
      <c r="AG21" s="668"/>
      <c r="AH21" s="668"/>
      <c r="AI21" s="668"/>
      <c r="AJ21" s="668"/>
      <c r="AK21" s="668"/>
      <c r="AL21" s="668"/>
      <c r="AM21" s="668"/>
      <c r="AN21" s="668"/>
      <c r="AO21" s="668"/>
      <c r="AP21" s="664"/>
      <c r="AQ21" s="664"/>
      <c r="AR21" s="125" t="s">
        <v>2237</v>
      </c>
      <c r="AS21" s="390"/>
      <c r="AT21" s="390"/>
      <c r="AV21" s="654"/>
      <c r="AW21" s="654"/>
      <c r="AX21" s="654"/>
      <c r="AY21" s="654"/>
      <c r="AZ21" s="654"/>
      <c r="BA21" s="655"/>
      <c r="BB21" s="655"/>
      <c r="BC21" s="655"/>
      <c r="BD21" s="655"/>
      <c r="BE21" s="655"/>
      <c r="BF21" s="655"/>
      <c r="BG21" s="656"/>
      <c r="BH21" s="656"/>
      <c r="BI21" s="656"/>
      <c r="BJ21" s="656"/>
      <c r="BK21" s="656"/>
      <c r="BL21" s="657"/>
      <c r="BM21" s="657"/>
      <c r="BN21" s="657"/>
      <c r="BO21" s="657"/>
      <c r="BP21" s="657"/>
      <c r="BQ21" s="657"/>
    </row>
    <row r="22" spans="2:69" ht="16.95" customHeight="1" x14ac:dyDescent="0.25">
      <c r="B22" s="665"/>
      <c r="C22" s="666"/>
      <c r="D22" s="666"/>
      <c r="E22" s="667"/>
      <c r="F22" s="677" t="str">
        <f>数据表!BX8</f>
        <v/>
      </c>
      <c r="G22" s="677"/>
      <c r="H22" s="579"/>
      <c r="I22" s="579"/>
      <c r="J22" s="579"/>
      <c r="K22" s="579"/>
      <c r="L22" s="579"/>
      <c r="M22" s="579"/>
      <c r="N22" s="579"/>
      <c r="O22" s="579"/>
      <c r="P22" s="579"/>
      <c r="Q22" s="579"/>
      <c r="R22" s="579"/>
      <c r="S22" s="579"/>
      <c r="T22" s="579"/>
      <c r="U22" s="579"/>
      <c r="V22" s="678" t="str">
        <f>数据表!CA8</f>
        <v/>
      </c>
      <c r="W22" s="678"/>
      <c r="Y22" s="665"/>
      <c r="Z22" s="666"/>
      <c r="AA22" s="666"/>
      <c r="AB22" s="667"/>
      <c r="AC22" s="658"/>
      <c r="AD22" s="658"/>
      <c r="AE22" s="658"/>
      <c r="AF22" s="658"/>
      <c r="AG22" s="658"/>
      <c r="AH22" s="658"/>
      <c r="AI22" s="658"/>
      <c r="AJ22" s="658"/>
      <c r="AK22" s="658"/>
      <c r="AL22" s="658"/>
      <c r="AM22" s="658"/>
      <c r="AN22" s="658"/>
      <c r="AO22" s="658"/>
      <c r="AP22" s="659"/>
      <c r="AQ22" s="659"/>
      <c r="AR22" s="125" t="s">
        <v>2237</v>
      </c>
      <c r="AS22" s="379"/>
      <c r="AT22" s="379"/>
      <c r="AV22" s="654"/>
      <c r="AW22" s="654"/>
      <c r="AX22" s="654"/>
      <c r="AY22" s="654"/>
      <c r="AZ22" s="654"/>
      <c r="BA22" s="655"/>
      <c r="BB22" s="655"/>
      <c r="BC22" s="655"/>
      <c r="BD22" s="655"/>
      <c r="BE22" s="655"/>
      <c r="BF22" s="655"/>
      <c r="BG22" s="656"/>
      <c r="BH22" s="656"/>
      <c r="BI22" s="656"/>
      <c r="BJ22" s="656"/>
      <c r="BK22" s="656"/>
      <c r="BL22" s="657"/>
      <c r="BM22" s="657"/>
      <c r="BN22" s="657"/>
      <c r="BO22" s="657"/>
      <c r="BP22" s="657"/>
      <c r="BQ22" s="657"/>
    </row>
    <row r="23" spans="2:69" ht="16.95" customHeight="1" x14ac:dyDescent="0.25">
      <c r="B23" s="660"/>
      <c r="C23" s="661"/>
      <c r="D23" s="661"/>
      <c r="E23" s="662"/>
      <c r="F23" s="674" t="str">
        <f>数据表!BX9</f>
        <v/>
      </c>
      <c r="G23" s="674"/>
      <c r="H23" s="675"/>
      <c r="I23" s="675"/>
      <c r="J23" s="675"/>
      <c r="K23" s="675"/>
      <c r="L23" s="675"/>
      <c r="M23" s="675"/>
      <c r="N23" s="675"/>
      <c r="O23" s="675"/>
      <c r="P23" s="675"/>
      <c r="Q23" s="675"/>
      <c r="R23" s="675"/>
      <c r="S23" s="675"/>
      <c r="T23" s="675"/>
      <c r="U23" s="675"/>
      <c r="V23" s="676" t="str">
        <f>数据表!CA9</f>
        <v/>
      </c>
      <c r="W23" s="676"/>
      <c r="Y23" s="660"/>
      <c r="Z23" s="661"/>
      <c r="AA23" s="661"/>
      <c r="AB23" s="662"/>
      <c r="AC23" s="663"/>
      <c r="AD23" s="663"/>
      <c r="AE23" s="663"/>
      <c r="AF23" s="663"/>
      <c r="AG23" s="663"/>
      <c r="AH23" s="663"/>
      <c r="AI23" s="663"/>
      <c r="AJ23" s="663"/>
      <c r="AK23" s="663"/>
      <c r="AL23" s="663"/>
      <c r="AM23" s="663"/>
      <c r="AN23" s="663"/>
      <c r="AO23" s="663"/>
      <c r="AP23" s="664"/>
      <c r="AQ23" s="664"/>
      <c r="AR23" s="125" t="s">
        <v>2237</v>
      </c>
      <c r="AS23" s="396"/>
      <c r="AT23" s="396"/>
      <c r="AV23" s="654"/>
      <c r="AW23" s="654"/>
      <c r="AX23" s="654"/>
      <c r="AY23" s="654"/>
      <c r="AZ23" s="654"/>
      <c r="BA23" s="655"/>
      <c r="BB23" s="655"/>
      <c r="BC23" s="655"/>
      <c r="BD23" s="655"/>
      <c r="BE23" s="655"/>
      <c r="BF23" s="655"/>
      <c r="BG23" s="656"/>
      <c r="BH23" s="656"/>
      <c r="BI23" s="656"/>
      <c r="BJ23" s="656"/>
      <c r="BK23" s="656"/>
      <c r="BL23" s="657"/>
      <c r="BM23" s="657"/>
      <c r="BN23" s="657"/>
      <c r="BO23" s="657"/>
      <c r="BP23" s="657"/>
      <c r="BQ23" s="657"/>
    </row>
    <row r="24" spans="2:69" ht="16.95" customHeight="1" x14ac:dyDescent="0.25">
      <c r="B24" s="665"/>
      <c r="C24" s="666"/>
      <c r="D24" s="666"/>
      <c r="E24" s="667"/>
      <c r="F24" s="677" t="str">
        <f>数据表!BX10</f>
        <v/>
      </c>
      <c r="G24" s="677"/>
      <c r="H24" s="579"/>
      <c r="I24" s="579"/>
      <c r="J24" s="579"/>
      <c r="K24" s="579"/>
      <c r="L24" s="579"/>
      <c r="M24" s="579"/>
      <c r="N24" s="579"/>
      <c r="O24" s="579"/>
      <c r="P24" s="579"/>
      <c r="Q24" s="579"/>
      <c r="R24" s="579"/>
      <c r="S24" s="579"/>
      <c r="T24" s="579"/>
      <c r="U24" s="579"/>
      <c r="V24" s="678" t="str">
        <f>数据表!CA10</f>
        <v/>
      </c>
      <c r="W24" s="678"/>
      <c r="Y24" s="665"/>
      <c r="Z24" s="666"/>
      <c r="AA24" s="666"/>
      <c r="AB24" s="667"/>
      <c r="AC24" s="658"/>
      <c r="AD24" s="658"/>
      <c r="AE24" s="658"/>
      <c r="AF24" s="658"/>
      <c r="AG24" s="658"/>
      <c r="AH24" s="658"/>
      <c r="AI24" s="658"/>
      <c r="AJ24" s="658"/>
      <c r="AK24" s="658"/>
      <c r="AL24" s="658"/>
      <c r="AM24" s="658"/>
      <c r="AN24" s="658"/>
      <c r="AO24" s="658"/>
      <c r="AP24" s="659"/>
      <c r="AQ24" s="659"/>
      <c r="AR24" s="125" t="s">
        <v>2237</v>
      </c>
      <c r="AS24" s="379"/>
      <c r="AT24" s="379"/>
      <c r="AV24" s="654"/>
      <c r="AW24" s="654"/>
      <c r="AX24" s="654"/>
      <c r="AY24" s="654"/>
      <c r="AZ24" s="654"/>
      <c r="BA24" s="655"/>
      <c r="BB24" s="655"/>
      <c r="BC24" s="655"/>
      <c r="BD24" s="655"/>
      <c r="BE24" s="655"/>
      <c r="BF24" s="655"/>
      <c r="BG24" s="656"/>
      <c r="BH24" s="656"/>
      <c r="BI24" s="656"/>
      <c r="BJ24" s="656"/>
      <c r="BK24" s="656"/>
      <c r="BL24" s="657"/>
      <c r="BM24" s="657"/>
      <c r="BN24" s="657"/>
      <c r="BO24" s="657"/>
      <c r="BP24" s="657"/>
      <c r="BQ24" s="657"/>
    </row>
    <row r="25" spans="2:69" ht="16.95" customHeight="1" x14ac:dyDescent="0.25">
      <c r="B25" s="660"/>
      <c r="C25" s="661"/>
      <c r="D25" s="661"/>
      <c r="E25" s="662"/>
      <c r="F25" s="674" t="str">
        <f>数据表!BX11</f>
        <v/>
      </c>
      <c r="G25" s="674"/>
      <c r="H25" s="675"/>
      <c r="I25" s="675"/>
      <c r="J25" s="675"/>
      <c r="K25" s="675"/>
      <c r="L25" s="675"/>
      <c r="M25" s="675"/>
      <c r="N25" s="675"/>
      <c r="O25" s="675"/>
      <c r="P25" s="675"/>
      <c r="Q25" s="675"/>
      <c r="R25" s="675"/>
      <c r="S25" s="675"/>
      <c r="T25" s="675"/>
      <c r="U25" s="675"/>
      <c r="V25" s="676" t="str">
        <f>数据表!CA11</f>
        <v/>
      </c>
      <c r="W25" s="676"/>
      <c r="Y25" s="660"/>
      <c r="Z25" s="661"/>
      <c r="AA25" s="661"/>
      <c r="AB25" s="662"/>
      <c r="AC25" s="663"/>
      <c r="AD25" s="663"/>
      <c r="AE25" s="663"/>
      <c r="AF25" s="663"/>
      <c r="AG25" s="663"/>
      <c r="AH25" s="663"/>
      <c r="AI25" s="663"/>
      <c r="AJ25" s="663"/>
      <c r="AK25" s="663"/>
      <c r="AL25" s="663"/>
      <c r="AM25" s="663"/>
      <c r="AN25" s="663"/>
      <c r="AO25" s="663"/>
      <c r="AP25" s="664"/>
      <c r="AQ25" s="664"/>
      <c r="AR25" s="125" t="s">
        <v>2237</v>
      </c>
      <c r="AS25" s="396"/>
      <c r="AT25" s="396"/>
      <c r="AV25" s="654"/>
      <c r="AW25" s="654"/>
      <c r="AX25" s="654"/>
      <c r="AY25" s="654"/>
      <c r="AZ25" s="654"/>
      <c r="BA25" s="655"/>
      <c r="BB25" s="655"/>
      <c r="BC25" s="655"/>
      <c r="BD25" s="655"/>
      <c r="BE25" s="655"/>
      <c r="BF25" s="655"/>
      <c r="BG25" s="656"/>
      <c r="BH25" s="656"/>
      <c r="BI25" s="656"/>
      <c r="BJ25" s="656"/>
      <c r="BK25" s="656"/>
      <c r="BL25" s="657"/>
      <c r="BM25" s="657"/>
      <c r="BN25" s="657"/>
      <c r="BO25" s="657"/>
      <c r="BP25" s="657"/>
      <c r="BQ25" s="657"/>
    </row>
    <row r="26" spans="2:69" ht="16.95" customHeight="1" x14ac:dyDescent="0.25">
      <c r="AV26" s="654"/>
      <c r="AW26" s="654"/>
      <c r="AX26" s="654"/>
      <c r="AY26" s="654"/>
      <c r="AZ26" s="654"/>
      <c r="BA26" s="655"/>
      <c r="BB26" s="655"/>
      <c r="BC26" s="655"/>
      <c r="BD26" s="655"/>
      <c r="BE26" s="655"/>
      <c r="BF26" s="655"/>
      <c r="BG26" s="656"/>
      <c r="BH26" s="656"/>
      <c r="BI26" s="656"/>
      <c r="BJ26" s="656"/>
      <c r="BK26" s="656"/>
      <c r="BL26" s="657"/>
      <c r="BM26" s="657"/>
      <c r="BN26" s="657"/>
      <c r="BO26" s="657"/>
      <c r="BP26" s="657"/>
      <c r="BQ26" s="657"/>
    </row>
    <row r="27" spans="2:69" ht="16.95" customHeight="1" x14ac:dyDescent="0.25">
      <c r="B27" s="671" t="s">
        <v>157</v>
      </c>
      <c r="C27" s="671"/>
      <c r="D27" s="671"/>
      <c r="E27" s="671"/>
      <c r="F27" s="671"/>
      <c r="G27" s="671"/>
      <c r="H27" s="671"/>
      <c r="I27" s="671"/>
      <c r="J27" s="671"/>
      <c r="K27" s="671"/>
      <c r="L27" s="671"/>
      <c r="M27" s="671"/>
      <c r="N27" s="671"/>
      <c r="O27" s="671"/>
      <c r="P27" s="671"/>
      <c r="Q27" s="671"/>
      <c r="R27" s="671"/>
      <c r="S27" s="671"/>
      <c r="T27" s="671"/>
      <c r="U27" s="671"/>
      <c r="V27" s="672" cm="1">
        <f t="array" ref="V27">SUM(数据表!BM14:BM23+数据表!BM25:BM34)</f>
        <v>0</v>
      </c>
      <c r="W27" s="672"/>
      <c r="Y27" s="671" t="s">
        <v>170</v>
      </c>
      <c r="Z27" s="671"/>
      <c r="AA27" s="671"/>
      <c r="AB27" s="671"/>
      <c r="AC27" s="671"/>
      <c r="AD27" s="671"/>
      <c r="AE27" s="671"/>
      <c r="AF27" s="671"/>
      <c r="AG27" s="671"/>
      <c r="AH27" s="671"/>
      <c r="AI27" s="671"/>
      <c r="AJ27" s="671"/>
      <c r="AK27" s="671"/>
      <c r="AL27" s="671"/>
      <c r="AM27" s="671"/>
      <c r="AN27" s="671"/>
      <c r="AO27" s="671"/>
      <c r="AP27" s="671"/>
      <c r="AQ27" s="671"/>
      <c r="AR27" s="671"/>
      <c r="AS27" s="673" t="s">
        <v>843</v>
      </c>
      <c r="AT27" s="673"/>
      <c r="AV27" s="654"/>
      <c r="AW27" s="654"/>
      <c r="AX27" s="654"/>
      <c r="AY27" s="654"/>
      <c r="AZ27" s="654"/>
      <c r="BA27" s="655"/>
      <c r="BB27" s="655"/>
      <c r="BC27" s="655"/>
      <c r="BD27" s="655"/>
      <c r="BE27" s="655"/>
      <c r="BF27" s="655"/>
      <c r="BG27" s="656"/>
      <c r="BH27" s="656"/>
      <c r="BI27" s="656"/>
      <c r="BJ27" s="656"/>
      <c r="BK27" s="656"/>
      <c r="BL27" s="657"/>
      <c r="BM27" s="657"/>
      <c r="BN27" s="657"/>
      <c r="BO27" s="657"/>
      <c r="BP27" s="657"/>
      <c r="BQ27" s="657"/>
    </row>
    <row r="28" spans="2:69" ht="16.95" customHeight="1" x14ac:dyDescent="0.35">
      <c r="B28" s="476" t="s">
        <v>38</v>
      </c>
      <c r="C28" s="476"/>
      <c r="D28" s="476"/>
      <c r="E28" s="476"/>
      <c r="F28" s="476" t="s">
        <v>39</v>
      </c>
      <c r="G28" s="476"/>
      <c r="H28" s="476"/>
      <c r="I28" s="476"/>
      <c r="J28" s="476"/>
      <c r="K28" s="476"/>
      <c r="L28" s="476"/>
      <c r="M28" s="476"/>
      <c r="N28" s="476"/>
      <c r="O28" s="476"/>
      <c r="P28" s="476"/>
      <c r="Q28" s="476"/>
      <c r="R28" s="476"/>
      <c r="S28" s="462" t="s">
        <v>2235</v>
      </c>
      <c r="T28" s="462"/>
      <c r="U28" s="125"/>
      <c r="V28" s="476" t="s">
        <v>2236</v>
      </c>
      <c r="W28" s="476"/>
      <c r="Y28" s="476" t="s">
        <v>38</v>
      </c>
      <c r="Z28" s="476"/>
      <c r="AA28" s="476"/>
      <c r="AB28" s="476"/>
      <c r="AC28" s="476" t="s">
        <v>39</v>
      </c>
      <c r="AD28" s="476"/>
      <c r="AE28" s="476"/>
      <c r="AF28" s="476"/>
      <c r="AG28" s="476"/>
      <c r="AH28" s="476"/>
      <c r="AI28" s="476"/>
      <c r="AJ28" s="476"/>
      <c r="AK28" s="476"/>
      <c r="AL28" s="476"/>
      <c r="AM28" s="476"/>
      <c r="AN28" s="476"/>
      <c r="AO28" s="476"/>
      <c r="AP28" s="462" t="s">
        <v>2235</v>
      </c>
      <c r="AQ28" s="462"/>
      <c r="AR28" s="125"/>
      <c r="AS28" s="476" t="s">
        <v>2236</v>
      </c>
      <c r="AT28" s="476"/>
      <c r="AV28" s="654"/>
      <c r="AW28" s="654"/>
      <c r="AX28" s="654"/>
      <c r="AY28" s="654"/>
      <c r="AZ28" s="654"/>
      <c r="BA28" s="655"/>
      <c r="BB28" s="655"/>
      <c r="BC28" s="655"/>
      <c r="BD28" s="655"/>
      <c r="BE28" s="655"/>
      <c r="BF28" s="655"/>
      <c r="BG28" s="656"/>
      <c r="BH28" s="656"/>
      <c r="BI28" s="656"/>
      <c r="BJ28" s="656"/>
      <c r="BK28" s="656"/>
      <c r="BL28" s="657"/>
      <c r="BM28" s="657"/>
      <c r="BN28" s="657"/>
      <c r="BO28" s="657"/>
      <c r="BP28" s="657"/>
      <c r="BQ28" s="657"/>
    </row>
    <row r="29" spans="2:69" ht="16.95" customHeight="1" x14ac:dyDescent="0.25">
      <c r="B29" s="665"/>
      <c r="C29" s="666"/>
      <c r="D29" s="666"/>
      <c r="E29" s="667"/>
      <c r="F29" s="658"/>
      <c r="G29" s="658"/>
      <c r="H29" s="658"/>
      <c r="I29" s="658"/>
      <c r="J29" s="658"/>
      <c r="K29" s="658"/>
      <c r="L29" s="658"/>
      <c r="M29" s="658"/>
      <c r="N29" s="658"/>
      <c r="O29" s="658"/>
      <c r="P29" s="658"/>
      <c r="Q29" s="658"/>
      <c r="R29" s="658"/>
      <c r="S29" s="659"/>
      <c r="T29" s="659"/>
      <c r="U29" s="125" t="s">
        <v>2237</v>
      </c>
      <c r="V29" s="379"/>
      <c r="W29" s="379"/>
      <c r="Y29" s="665"/>
      <c r="Z29" s="666"/>
      <c r="AA29" s="666"/>
      <c r="AB29" s="667"/>
      <c r="AC29" s="658"/>
      <c r="AD29" s="658"/>
      <c r="AE29" s="658"/>
      <c r="AF29" s="658"/>
      <c r="AG29" s="658"/>
      <c r="AH29" s="658"/>
      <c r="AI29" s="658"/>
      <c r="AJ29" s="658"/>
      <c r="AK29" s="658"/>
      <c r="AL29" s="658"/>
      <c r="AM29" s="658"/>
      <c r="AN29" s="658"/>
      <c r="AO29" s="658"/>
      <c r="AP29" s="659"/>
      <c r="AQ29" s="659"/>
      <c r="AR29" s="125" t="s">
        <v>2237</v>
      </c>
      <c r="AS29" s="379"/>
      <c r="AT29" s="379"/>
      <c r="AV29" s="654"/>
      <c r="AW29" s="654"/>
      <c r="AX29" s="654"/>
      <c r="AY29" s="654"/>
      <c r="AZ29" s="654"/>
      <c r="BA29" s="655"/>
      <c r="BB29" s="655"/>
      <c r="BC29" s="655"/>
      <c r="BD29" s="655"/>
      <c r="BE29" s="655"/>
      <c r="BF29" s="655"/>
      <c r="BG29" s="656"/>
      <c r="BH29" s="656"/>
      <c r="BI29" s="656"/>
      <c r="BJ29" s="656"/>
      <c r="BK29" s="656"/>
      <c r="BL29" s="657"/>
      <c r="BM29" s="657"/>
      <c r="BN29" s="657"/>
      <c r="BO29" s="657"/>
      <c r="BP29" s="657"/>
      <c r="BQ29" s="657"/>
    </row>
    <row r="30" spans="2:69" ht="16.95" customHeight="1" x14ac:dyDescent="0.25">
      <c r="B30" s="660"/>
      <c r="C30" s="661"/>
      <c r="D30" s="661"/>
      <c r="E30" s="662"/>
      <c r="F30" s="663"/>
      <c r="G30" s="663"/>
      <c r="H30" s="663"/>
      <c r="I30" s="663"/>
      <c r="J30" s="663"/>
      <c r="K30" s="663"/>
      <c r="L30" s="663"/>
      <c r="M30" s="663"/>
      <c r="N30" s="663"/>
      <c r="O30" s="663"/>
      <c r="P30" s="663"/>
      <c r="Q30" s="663"/>
      <c r="R30" s="663"/>
      <c r="S30" s="664"/>
      <c r="T30" s="664"/>
      <c r="U30" s="125" t="s">
        <v>2237</v>
      </c>
      <c r="V30" s="396"/>
      <c r="W30" s="396"/>
      <c r="Y30" s="660"/>
      <c r="Z30" s="661"/>
      <c r="AA30" s="661"/>
      <c r="AB30" s="662"/>
      <c r="AC30" s="663"/>
      <c r="AD30" s="663"/>
      <c r="AE30" s="663"/>
      <c r="AF30" s="663"/>
      <c r="AG30" s="663"/>
      <c r="AH30" s="663"/>
      <c r="AI30" s="663"/>
      <c r="AJ30" s="663"/>
      <c r="AK30" s="663"/>
      <c r="AL30" s="663"/>
      <c r="AM30" s="663"/>
      <c r="AN30" s="663"/>
      <c r="AO30" s="663"/>
      <c r="AP30" s="664"/>
      <c r="AQ30" s="664"/>
      <c r="AR30" s="125" t="s">
        <v>2237</v>
      </c>
      <c r="AS30" s="396"/>
      <c r="AT30" s="396"/>
      <c r="AV30" s="654"/>
      <c r="AW30" s="654"/>
      <c r="AX30" s="654"/>
      <c r="AY30" s="654"/>
      <c r="AZ30" s="654"/>
      <c r="BA30" s="655"/>
      <c r="BB30" s="655"/>
      <c r="BC30" s="655"/>
      <c r="BD30" s="655"/>
      <c r="BE30" s="655"/>
      <c r="BF30" s="655"/>
      <c r="BG30" s="656"/>
      <c r="BH30" s="656"/>
      <c r="BI30" s="656"/>
      <c r="BJ30" s="656"/>
      <c r="BK30" s="656"/>
      <c r="BL30" s="657"/>
      <c r="BM30" s="657"/>
      <c r="BN30" s="657"/>
      <c r="BO30" s="657"/>
      <c r="BP30" s="657"/>
      <c r="BQ30" s="657"/>
    </row>
    <row r="31" spans="2:69" ht="16.95" customHeight="1" x14ac:dyDescent="0.25">
      <c r="B31" s="665"/>
      <c r="C31" s="666"/>
      <c r="D31" s="666"/>
      <c r="E31" s="667"/>
      <c r="F31" s="658"/>
      <c r="G31" s="658"/>
      <c r="H31" s="658"/>
      <c r="I31" s="658"/>
      <c r="J31" s="658"/>
      <c r="K31" s="658"/>
      <c r="L31" s="658"/>
      <c r="M31" s="658"/>
      <c r="N31" s="658"/>
      <c r="O31" s="658"/>
      <c r="P31" s="658"/>
      <c r="Q31" s="658"/>
      <c r="R31" s="658"/>
      <c r="S31" s="659"/>
      <c r="T31" s="659"/>
      <c r="U31" s="125" t="s">
        <v>2237</v>
      </c>
      <c r="V31" s="379"/>
      <c r="W31" s="379"/>
      <c r="Y31" s="665"/>
      <c r="Z31" s="666"/>
      <c r="AA31" s="666"/>
      <c r="AB31" s="667"/>
      <c r="AC31" s="658"/>
      <c r="AD31" s="658"/>
      <c r="AE31" s="658"/>
      <c r="AF31" s="658"/>
      <c r="AG31" s="658"/>
      <c r="AH31" s="658"/>
      <c r="AI31" s="658"/>
      <c r="AJ31" s="658"/>
      <c r="AK31" s="658"/>
      <c r="AL31" s="658"/>
      <c r="AM31" s="658"/>
      <c r="AN31" s="658"/>
      <c r="AO31" s="658"/>
      <c r="AP31" s="659"/>
      <c r="AQ31" s="659"/>
      <c r="AR31" s="125" t="s">
        <v>2237</v>
      </c>
      <c r="AS31" s="379"/>
      <c r="AT31" s="379"/>
      <c r="AV31" s="654"/>
      <c r="AW31" s="654"/>
      <c r="AX31" s="654"/>
      <c r="AY31" s="654"/>
      <c r="AZ31" s="654"/>
      <c r="BA31" s="655"/>
      <c r="BB31" s="655"/>
      <c r="BC31" s="655"/>
      <c r="BD31" s="655"/>
      <c r="BE31" s="655"/>
      <c r="BF31" s="655"/>
      <c r="BG31" s="656"/>
      <c r="BH31" s="656"/>
      <c r="BI31" s="656"/>
      <c r="BJ31" s="656"/>
      <c r="BK31" s="656"/>
      <c r="BL31" s="657"/>
      <c r="BM31" s="657"/>
      <c r="BN31" s="657"/>
      <c r="BO31" s="657"/>
      <c r="BP31" s="657"/>
      <c r="BQ31" s="657"/>
    </row>
    <row r="32" spans="2:69" ht="16.95" customHeight="1" x14ac:dyDescent="0.25">
      <c r="B32" s="660"/>
      <c r="C32" s="661"/>
      <c r="D32" s="661"/>
      <c r="E32" s="662"/>
      <c r="F32" s="663"/>
      <c r="G32" s="663"/>
      <c r="H32" s="663"/>
      <c r="I32" s="663"/>
      <c r="J32" s="663"/>
      <c r="K32" s="663"/>
      <c r="L32" s="663"/>
      <c r="M32" s="663"/>
      <c r="N32" s="663"/>
      <c r="O32" s="663"/>
      <c r="P32" s="663"/>
      <c r="Q32" s="663"/>
      <c r="R32" s="663"/>
      <c r="S32" s="664"/>
      <c r="T32" s="664"/>
      <c r="U32" s="125" t="s">
        <v>2237</v>
      </c>
      <c r="V32" s="396"/>
      <c r="W32" s="396"/>
      <c r="Y32" s="660"/>
      <c r="Z32" s="661"/>
      <c r="AA32" s="661"/>
      <c r="AB32" s="662"/>
      <c r="AC32" s="663"/>
      <c r="AD32" s="663"/>
      <c r="AE32" s="663"/>
      <c r="AF32" s="663"/>
      <c r="AG32" s="663"/>
      <c r="AH32" s="663"/>
      <c r="AI32" s="663"/>
      <c r="AJ32" s="663"/>
      <c r="AK32" s="663"/>
      <c r="AL32" s="663"/>
      <c r="AM32" s="663"/>
      <c r="AN32" s="663"/>
      <c r="AO32" s="663"/>
      <c r="AP32" s="664"/>
      <c r="AQ32" s="664"/>
      <c r="AR32" s="125" t="s">
        <v>2237</v>
      </c>
      <c r="AS32" s="396"/>
      <c r="AT32" s="396"/>
      <c r="AV32" s="654"/>
      <c r="AW32" s="654"/>
      <c r="AX32" s="654"/>
      <c r="AY32" s="654"/>
      <c r="AZ32" s="654"/>
      <c r="BA32" s="655"/>
      <c r="BB32" s="655"/>
      <c r="BC32" s="655"/>
      <c r="BD32" s="655"/>
      <c r="BE32" s="655"/>
      <c r="BF32" s="655"/>
      <c r="BG32" s="656"/>
      <c r="BH32" s="656"/>
      <c r="BI32" s="656"/>
      <c r="BJ32" s="656"/>
      <c r="BK32" s="656"/>
      <c r="BL32" s="657"/>
      <c r="BM32" s="657"/>
      <c r="BN32" s="657"/>
      <c r="BO32" s="657"/>
      <c r="BP32" s="657"/>
      <c r="BQ32" s="657"/>
    </row>
    <row r="33" spans="2:69" ht="16.95" customHeight="1" x14ac:dyDescent="0.25">
      <c r="B33" s="665"/>
      <c r="C33" s="666"/>
      <c r="D33" s="666"/>
      <c r="E33" s="667"/>
      <c r="F33" s="658"/>
      <c r="G33" s="658"/>
      <c r="H33" s="658"/>
      <c r="I33" s="658"/>
      <c r="J33" s="658"/>
      <c r="K33" s="658"/>
      <c r="L33" s="658"/>
      <c r="M33" s="658"/>
      <c r="N33" s="658"/>
      <c r="O33" s="658"/>
      <c r="P33" s="658"/>
      <c r="Q33" s="658"/>
      <c r="R33" s="658"/>
      <c r="S33" s="659"/>
      <c r="T33" s="659"/>
      <c r="U33" s="125" t="s">
        <v>2237</v>
      </c>
      <c r="V33" s="379"/>
      <c r="W33" s="379"/>
      <c r="Y33" s="665"/>
      <c r="Z33" s="666"/>
      <c r="AA33" s="666"/>
      <c r="AB33" s="667"/>
      <c r="AC33" s="658"/>
      <c r="AD33" s="658"/>
      <c r="AE33" s="658"/>
      <c r="AF33" s="658"/>
      <c r="AG33" s="658"/>
      <c r="AH33" s="658"/>
      <c r="AI33" s="658"/>
      <c r="AJ33" s="658"/>
      <c r="AK33" s="658"/>
      <c r="AL33" s="658"/>
      <c r="AM33" s="658"/>
      <c r="AN33" s="658"/>
      <c r="AO33" s="658"/>
      <c r="AP33" s="659"/>
      <c r="AQ33" s="659"/>
      <c r="AR33" s="125" t="s">
        <v>2237</v>
      </c>
      <c r="AS33" s="379"/>
      <c r="AT33" s="379"/>
      <c r="AV33" s="654"/>
      <c r="AW33" s="654"/>
      <c r="AX33" s="654"/>
      <c r="AY33" s="654"/>
      <c r="AZ33" s="654"/>
      <c r="BA33" s="655"/>
      <c r="BB33" s="655"/>
      <c r="BC33" s="655"/>
      <c r="BD33" s="655"/>
      <c r="BE33" s="655"/>
      <c r="BF33" s="655"/>
      <c r="BG33" s="656"/>
      <c r="BH33" s="656"/>
      <c r="BI33" s="656"/>
      <c r="BJ33" s="656"/>
      <c r="BK33" s="656"/>
      <c r="BL33" s="657"/>
      <c r="BM33" s="657"/>
      <c r="BN33" s="657"/>
      <c r="BO33" s="657"/>
      <c r="BP33" s="657"/>
      <c r="BQ33" s="657"/>
    </row>
    <row r="34" spans="2:69" ht="16.95" customHeight="1" x14ac:dyDescent="0.25">
      <c r="B34" s="660"/>
      <c r="C34" s="661"/>
      <c r="D34" s="661"/>
      <c r="E34" s="662"/>
      <c r="F34" s="668"/>
      <c r="G34" s="668"/>
      <c r="H34" s="668"/>
      <c r="I34" s="668"/>
      <c r="J34" s="668"/>
      <c r="K34" s="668"/>
      <c r="L34" s="668"/>
      <c r="M34" s="668"/>
      <c r="N34" s="668"/>
      <c r="O34" s="668"/>
      <c r="P34" s="668"/>
      <c r="Q34" s="668"/>
      <c r="R34" s="668"/>
      <c r="S34" s="664"/>
      <c r="T34" s="664"/>
      <c r="U34" s="125" t="s">
        <v>2237</v>
      </c>
      <c r="V34" s="390"/>
      <c r="W34" s="390"/>
      <c r="Y34" s="660"/>
      <c r="Z34" s="661"/>
      <c r="AA34" s="661"/>
      <c r="AB34" s="662"/>
      <c r="AC34" s="668"/>
      <c r="AD34" s="668"/>
      <c r="AE34" s="668"/>
      <c r="AF34" s="668"/>
      <c r="AG34" s="668"/>
      <c r="AH34" s="668"/>
      <c r="AI34" s="668"/>
      <c r="AJ34" s="668"/>
      <c r="AK34" s="668"/>
      <c r="AL34" s="668"/>
      <c r="AM34" s="668"/>
      <c r="AN34" s="668"/>
      <c r="AO34" s="668"/>
      <c r="AP34" s="664"/>
      <c r="AQ34" s="664"/>
      <c r="AR34" s="125" t="s">
        <v>2237</v>
      </c>
      <c r="AS34" s="390"/>
      <c r="AT34" s="390"/>
      <c r="AV34" s="654"/>
      <c r="AW34" s="654"/>
      <c r="AX34" s="654"/>
      <c r="AY34" s="654"/>
      <c r="AZ34" s="654"/>
      <c r="BA34" s="655"/>
      <c r="BB34" s="655"/>
      <c r="BC34" s="655"/>
      <c r="BD34" s="655"/>
      <c r="BE34" s="655"/>
      <c r="BF34" s="655"/>
      <c r="BG34" s="656"/>
      <c r="BH34" s="656"/>
      <c r="BI34" s="656"/>
      <c r="BJ34" s="656"/>
      <c r="BK34" s="656"/>
      <c r="BL34" s="657"/>
      <c r="BM34" s="657"/>
      <c r="BN34" s="657"/>
      <c r="BO34" s="657"/>
      <c r="BP34" s="657"/>
      <c r="BQ34" s="657"/>
    </row>
    <row r="35" spans="2:69" ht="16.95" customHeight="1" x14ac:dyDescent="0.25">
      <c r="B35" s="665"/>
      <c r="C35" s="666"/>
      <c r="D35" s="666"/>
      <c r="E35" s="667"/>
      <c r="F35" s="658"/>
      <c r="G35" s="658"/>
      <c r="H35" s="658"/>
      <c r="I35" s="658"/>
      <c r="J35" s="658"/>
      <c r="K35" s="658"/>
      <c r="L35" s="658"/>
      <c r="M35" s="658"/>
      <c r="N35" s="658"/>
      <c r="O35" s="658"/>
      <c r="P35" s="658"/>
      <c r="Q35" s="658"/>
      <c r="R35" s="658"/>
      <c r="S35" s="659"/>
      <c r="T35" s="659"/>
      <c r="U35" s="125" t="s">
        <v>2237</v>
      </c>
      <c r="V35" s="379"/>
      <c r="W35" s="379"/>
      <c r="Y35" s="665"/>
      <c r="Z35" s="666"/>
      <c r="AA35" s="666"/>
      <c r="AB35" s="667"/>
      <c r="AC35" s="658"/>
      <c r="AD35" s="658"/>
      <c r="AE35" s="658"/>
      <c r="AF35" s="658"/>
      <c r="AG35" s="658"/>
      <c r="AH35" s="658"/>
      <c r="AI35" s="658"/>
      <c r="AJ35" s="658"/>
      <c r="AK35" s="658"/>
      <c r="AL35" s="658"/>
      <c r="AM35" s="658"/>
      <c r="AN35" s="658"/>
      <c r="AO35" s="658"/>
      <c r="AP35" s="659"/>
      <c r="AQ35" s="659"/>
      <c r="AR35" s="125" t="s">
        <v>2237</v>
      </c>
      <c r="AS35" s="379"/>
      <c r="AT35" s="379"/>
      <c r="AV35" s="654"/>
      <c r="AW35" s="654"/>
      <c r="AX35" s="654"/>
      <c r="AY35" s="654"/>
      <c r="AZ35" s="654"/>
      <c r="BA35" s="655"/>
      <c r="BB35" s="655"/>
      <c r="BC35" s="655"/>
      <c r="BD35" s="655"/>
      <c r="BE35" s="655"/>
      <c r="BF35" s="655"/>
      <c r="BG35" s="656"/>
      <c r="BH35" s="656"/>
      <c r="BI35" s="656"/>
      <c r="BJ35" s="656"/>
      <c r="BK35" s="656"/>
      <c r="BL35" s="657"/>
      <c r="BM35" s="657"/>
      <c r="BN35" s="657"/>
      <c r="BO35" s="657"/>
      <c r="BP35" s="657"/>
      <c r="BQ35" s="657"/>
    </row>
    <row r="36" spans="2:69" ht="16.95" customHeight="1" x14ac:dyDescent="0.25">
      <c r="B36" s="660"/>
      <c r="C36" s="661"/>
      <c r="D36" s="661"/>
      <c r="E36" s="662"/>
      <c r="F36" s="663"/>
      <c r="G36" s="663"/>
      <c r="H36" s="663"/>
      <c r="I36" s="663"/>
      <c r="J36" s="663"/>
      <c r="K36" s="663"/>
      <c r="L36" s="663"/>
      <c r="M36" s="663"/>
      <c r="N36" s="663"/>
      <c r="O36" s="663"/>
      <c r="P36" s="663"/>
      <c r="Q36" s="663"/>
      <c r="R36" s="663"/>
      <c r="S36" s="664"/>
      <c r="T36" s="664"/>
      <c r="U36" s="125" t="s">
        <v>2237</v>
      </c>
      <c r="V36" s="396"/>
      <c r="W36" s="396"/>
      <c r="Y36" s="660"/>
      <c r="Z36" s="661"/>
      <c r="AA36" s="661"/>
      <c r="AB36" s="662"/>
      <c r="AC36" s="663"/>
      <c r="AD36" s="663"/>
      <c r="AE36" s="663"/>
      <c r="AF36" s="663"/>
      <c r="AG36" s="663"/>
      <c r="AH36" s="663"/>
      <c r="AI36" s="663"/>
      <c r="AJ36" s="663"/>
      <c r="AK36" s="663"/>
      <c r="AL36" s="663"/>
      <c r="AM36" s="663"/>
      <c r="AN36" s="663"/>
      <c r="AO36" s="663"/>
      <c r="AP36" s="664"/>
      <c r="AQ36" s="664"/>
      <c r="AR36" s="125" t="s">
        <v>2237</v>
      </c>
      <c r="AS36" s="396"/>
      <c r="AT36" s="396"/>
      <c r="AV36" s="654"/>
      <c r="AW36" s="654"/>
      <c r="AX36" s="654"/>
      <c r="AY36" s="654"/>
      <c r="AZ36" s="654"/>
      <c r="BA36" s="655"/>
      <c r="BB36" s="655"/>
      <c r="BC36" s="655"/>
      <c r="BD36" s="655"/>
      <c r="BE36" s="655"/>
      <c r="BF36" s="655"/>
      <c r="BG36" s="656"/>
      <c r="BH36" s="656"/>
      <c r="BI36" s="656"/>
      <c r="BJ36" s="656"/>
      <c r="BK36" s="656"/>
      <c r="BL36" s="657"/>
      <c r="BM36" s="657"/>
      <c r="BN36" s="657"/>
      <c r="BO36" s="657"/>
      <c r="BP36" s="657"/>
      <c r="BQ36" s="657"/>
    </row>
    <row r="37" spans="2:69" ht="16.95" customHeight="1" x14ac:dyDescent="0.25">
      <c r="B37" s="665"/>
      <c r="C37" s="666"/>
      <c r="D37" s="666"/>
      <c r="E37" s="667"/>
      <c r="F37" s="658"/>
      <c r="G37" s="658"/>
      <c r="H37" s="658"/>
      <c r="I37" s="658"/>
      <c r="J37" s="658"/>
      <c r="K37" s="658"/>
      <c r="L37" s="658"/>
      <c r="M37" s="658"/>
      <c r="N37" s="658"/>
      <c r="O37" s="658"/>
      <c r="P37" s="658"/>
      <c r="Q37" s="658"/>
      <c r="R37" s="658"/>
      <c r="S37" s="659"/>
      <c r="T37" s="659"/>
      <c r="U37" s="125" t="s">
        <v>2237</v>
      </c>
      <c r="V37" s="379"/>
      <c r="W37" s="379"/>
      <c r="Y37" s="665"/>
      <c r="Z37" s="666"/>
      <c r="AA37" s="666"/>
      <c r="AB37" s="667"/>
      <c r="AC37" s="658"/>
      <c r="AD37" s="658"/>
      <c r="AE37" s="658"/>
      <c r="AF37" s="658"/>
      <c r="AG37" s="658"/>
      <c r="AH37" s="658"/>
      <c r="AI37" s="658"/>
      <c r="AJ37" s="658"/>
      <c r="AK37" s="658"/>
      <c r="AL37" s="658"/>
      <c r="AM37" s="658"/>
      <c r="AN37" s="658"/>
      <c r="AO37" s="658"/>
      <c r="AP37" s="659"/>
      <c r="AQ37" s="659"/>
      <c r="AR37" s="125" t="s">
        <v>2237</v>
      </c>
      <c r="AS37" s="379"/>
      <c r="AT37" s="379"/>
      <c r="AV37" s="654"/>
      <c r="AW37" s="654"/>
      <c r="AX37" s="654"/>
      <c r="AY37" s="654"/>
      <c r="AZ37" s="654"/>
      <c r="BA37" s="655"/>
      <c r="BB37" s="655"/>
      <c r="BC37" s="655"/>
      <c r="BD37" s="655"/>
      <c r="BE37" s="655"/>
      <c r="BF37" s="655"/>
      <c r="BG37" s="656"/>
      <c r="BH37" s="656"/>
      <c r="BI37" s="656"/>
      <c r="BJ37" s="656"/>
      <c r="BK37" s="656"/>
      <c r="BL37" s="657"/>
      <c r="BM37" s="657"/>
      <c r="BN37" s="657"/>
      <c r="BO37" s="657"/>
      <c r="BP37" s="657"/>
      <c r="BQ37" s="657"/>
    </row>
    <row r="38" spans="2:69" ht="16.95" customHeight="1" x14ac:dyDescent="0.25">
      <c r="B38" s="660"/>
      <c r="C38" s="661"/>
      <c r="D38" s="661"/>
      <c r="E38" s="662"/>
      <c r="F38" s="663"/>
      <c r="G38" s="663"/>
      <c r="H38" s="663"/>
      <c r="I38" s="663"/>
      <c r="J38" s="663"/>
      <c r="K38" s="663"/>
      <c r="L38" s="663"/>
      <c r="M38" s="663"/>
      <c r="N38" s="663"/>
      <c r="O38" s="663"/>
      <c r="P38" s="663"/>
      <c r="Q38" s="663"/>
      <c r="R38" s="663"/>
      <c r="S38" s="664"/>
      <c r="T38" s="664"/>
      <c r="U38" s="125" t="s">
        <v>2237</v>
      </c>
      <c r="V38" s="396"/>
      <c r="W38" s="396"/>
      <c r="Y38" s="660"/>
      <c r="Z38" s="661"/>
      <c r="AA38" s="661"/>
      <c r="AB38" s="662"/>
      <c r="AC38" s="663"/>
      <c r="AD38" s="663"/>
      <c r="AE38" s="663"/>
      <c r="AF38" s="663"/>
      <c r="AG38" s="663"/>
      <c r="AH38" s="663"/>
      <c r="AI38" s="663"/>
      <c r="AJ38" s="663"/>
      <c r="AK38" s="663"/>
      <c r="AL38" s="663"/>
      <c r="AM38" s="663"/>
      <c r="AN38" s="663"/>
      <c r="AO38" s="663"/>
      <c r="AP38" s="664"/>
      <c r="AQ38" s="664"/>
      <c r="AR38" s="125" t="s">
        <v>2237</v>
      </c>
      <c r="AS38" s="396"/>
      <c r="AT38" s="396"/>
      <c r="AV38" s="654"/>
      <c r="AW38" s="654"/>
      <c r="AX38" s="654"/>
      <c r="AY38" s="654"/>
      <c r="AZ38" s="654"/>
      <c r="BA38" s="655"/>
      <c r="BB38" s="655"/>
      <c r="BC38" s="655"/>
      <c r="BD38" s="655"/>
      <c r="BE38" s="655"/>
      <c r="BF38" s="655"/>
      <c r="BG38" s="656"/>
      <c r="BH38" s="656"/>
      <c r="BI38" s="656"/>
      <c r="BJ38" s="656"/>
      <c r="BK38" s="656"/>
      <c r="BL38" s="657"/>
      <c r="BM38" s="657"/>
      <c r="BN38" s="657"/>
      <c r="BO38" s="657"/>
      <c r="BP38" s="657"/>
      <c r="BQ38" s="657"/>
    </row>
    <row r="39" spans="2:69" ht="16.95" customHeight="1" x14ac:dyDescent="0.35">
      <c r="B39" s="476" t="s">
        <v>38</v>
      </c>
      <c r="C39" s="476"/>
      <c r="D39" s="476"/>
      <c r="E39" s="476"/>
      <c r="F39" s="476" t="s">
        <v>39</v>
      </c>
      <c r="G39" s="476"/>
      <c r="H39" s="476"/>
      <c r="I39" s="476"/>
      <c r="J39" s="476"/>
      <c r="K39" s="476"/>
      <c r="L39" s="476"/>
      <c r="M39" s="476"/>
      <c r="N39" s="476"/>
      <c r="O39" s="476"/>
      <c r="P39" s="476"/>
      <c r="Q39" s="476"/>
      <c r="R39" s="476"/>
      <c r="S39" s="462" t="s">
        <v>2235</v>
      </c>
      <c r="T39" s="462"/>
      <c r="U39" s="125"/>
      <c r="V39" s="476" t="s">
        <v>2236</v>
      </c>
      <c r="W39" s="476"/>
      <c r="Y39" s="476" t="s">
        <v>38</v>
      </c>
      <c r="Z39" s="476"/>
      <c r="AA39" s="476"/>
      <c r="AB39" s="476"/>
      <c r="AC39" s="476" t="s">
        <v>39</v>
      </c>
      <c r="AD39" s="476"/>
      <c r="AE39" s="476"/>
      <c r="AF39" s="476"/>
      <c r="AG39" s="476"/>
      <c r="AH39" s="476"/>
      <c r="AI39" s="476"/>
      <c r="AJ39" s="476"/>
      <c r="AK39" s="476"/>
      <c r="AL39" s="476"/>
      <c r="AM39" s="476"/>
      <c r="AN39" s="476"/>
      <c r="AO39" s="476"/>
      <c r="AP39" s="462" t="s">
        <v>2235</v>
      </c>
      <c r="AQ39" s="462"/>
      <c r="AR39" s="125"/>
      <c r="AS39" s="476" t="s">
        <v>2236</v>
      </c>
      <c r="AT39" s="476"/>
      <c r="AV39" s="654"/>
      <c r="AW39" s="654"/>
      <c r="AX39" s="654"/>
      <c r="AY39" s="654"/>
      <c r="AZ39" s="654"/>
      <c r="BA39" s="655"/>
      <c r="BB39" s="655"/>
      <c r="BC39" s="655"/>
      <c r="BD39" s="655"/>
      <c r="BE39" s="655"/>
      <c r="BF39" s="655"/>
      <c r="BG39" s="656"/>
      <c r="BH39" s="656"/>
      <c r="BI39" s="656"/>
      <c r="BJ39" s="656"/>
      <c r="BK39" s="656"/>
      <c r="BL39" s="657"/>
      <c r="BM39" s="657"/>
      <c r="BN39" s="657"/>
      <c r="BO39" s="657"/>
      <c r="BP39" s="657"/>
      <c r="BQ39" s="657"/>
    </row>
    <row r="40" spans="2:69" ht="16.95" customHeight="1" x14ac:dyDescent="0.25">
      <c r="B40" s="665"/>
      <c r="C40" s="666"/>
      <c r="D40" s="666"/>
      <c r="E40" s="667"/>
      <c r="F40" s="658"/>
      <c r="G40" s="658"/>
      <c r="H40" s="658"/>
      <c r="I40" s="658"/>
      <c r="J40" s="658"/>
      <c r="K40" s="658"/>
      <c r="L40" s="658"/>
      <c r="M40" s="658"/>
      <c r="N40" s="658"/>
      <c r="O40" s="658"/>
      <c r="P40" s="658"/>
      <c r="Q40" s="658"/>
      <c r="R40" s="658"/>
      <c r="S40" s="659"/>
      <c r="T40" s="659"/>
      <c r="U40" s="125" t="s">
        <v>2237</v>
      </c>
      <c r="V40" s="379"/>
      <c r="W40" s="379"/>
      <c r="Y40" s="665"/>
      <c r="Z40" s="666"/>
      <c r="AA40" s="666"/>
      <c r="AB40" s="667"/>
      <c r="AC40" s="658"/>
      <c r="AD40" s="658"/>
      <c r="AE40" s="658"/>
      <c r="AF40" s="658"/>
      <c r="AG40" s="658"/>
      <c r="AH40" s="658"/>
      <c r="AI40" s="658"/>
      <c r="AJ40" s="658"/>
      <c r="AK40" s="658"/>
      <c r="AL40" s="658"/>
      <c r="AM40" s="658"/>
      <c r="AN40" s="658"/>
      <c r="AO40" s="658"/>
      <c r="AP40" s="659"/>
      <c r="AQ40" s="659"/>
      <c r="AR40" s="125" t="s">
        <v>2237</v>
      </c>
      <c r="AS40" s="379"/>
      <c r="AT40" s="379"/>
      <c r="AV40" s="654"/>
      <c r="AW40" s="654"/>
      <c r="AX40" s="654"/>
      <c r="AY40" s="654"/>
      <c r="AZ40" s="654"/>
      <c r="BA40" s="655"/>
      <c r="BB40" s="655"/>
      <c r="BC40" s="655"/>
      <c r="BD40" s="655"/>
      <c r="BE40" s="655"/>
      <c r="BF40" s="655"/>
      <c r="BG40" s="656"/>
      <c r="BH40" s="656"/>
      <c r="BI40" s="656"/>
      <c r="BJ40" s="656"/>
      <c r="BK40" s="656"/>
      <c r="BL40" s="657"/>
      <c r="BM40" s="657"/>
      <c r="BN40" s="657"/>
      <c r="BO40" s="657"/>
      <c r="BP40" s="657"/>
      <c r="BQ40" s="657"/>
    </row>
    <row r="41" spans="2:69" ht="16.95" customHeight="1" x14ac:dyDescent="0.25">
      <c r="B41" s="660"/>
      <c r="C41" s="661"/>
      <c r="D41" s="661"/>
      <c r="E41" s="662"/>
      <c r="F41" s="663"/>
      <c r="G41" s="663"/>
      <c r="H41" s="663"/>
      <c r="I41" s="663"/>
      <c r="J41" s="663"/>
      <c r="K41" s="663"/>
      <c r="L41" s="663"/>
      <c r="M41" s="663"/>
      <c r="N41" s="663"/>
      <c r="O41" s="663"/>
      <c r="P41" s="663"/>
      <c r="Q41" s="663"/>
      <c r="R41" s="663"/>
      <c r="S41" s="664"/>
      <c r="T41" s="664"/>
      <c r="U41" s="125" t="s">
        <v>2237</v>
      </c>
      <c r="V41" s="396"/>
      <c r="W41" s="396"/>
      <c r="Y41" s="660"/>
      <c r="Z41" s="661"/>
      <c r="AA41" s="661"/>
      <c r="AB41" s="662"/>
      <c r="AC41" s="663"/>
      <c r="AD41" s="663"/>
      <c r="AE41" s="663"/>
      <c r="AF41" s="663"/>
      <c r="AG41" s="663"/>
      <c r="AH41" s="663"/>
      <c r="AI41" s="663"/>
      <c r="AJ41" s="663"/>
      <c r="AK41" s="663"/>
      <c r="AL41" s="663"/>
      <c r="AM41" s="663"/>
      <c r="AN41" s="663"/>
      <c r="AO41" s="663"/>
      <c r="AP41" s="664"/>
      <c r="AQ41" s="664"/>
      <c r="AR41" s="125" t="s">
        <v>2237</v>
      </c>
      <c r="AS41" s="396"/>
      <c r="AT41" s="396"/>
      <c r="AV41" s="654"/>
      <c r="AW41" s="654"/>
      <c r="AX41" s="654"/>
      <c r="AY41" s="654"/>
      <c r="AZ41" s="654"/>
      <c r="BA41" s="655"/>
      <c r="BB41" s="655"/>
      <c r="BC41" s="655"/>
      <c r="BD41" s="655"/>
      <c r="BE41" s="655"/>
      <c r="BF41" s="655"/>
      <c r="BG41" s="656"/>
      <c r="BH41" s="656"/>
      <c r="BI41" s="656"/>
      <c r="BJ41" s="656"/>
      <c r="BK41" s="656"/>
      <c r="BL41" s="657"/>
      <c r="BM41" s="657"/>
      <c r="BN41" s="657"/>
      <c r="BO41" s="657"/>
      <c r="BP41" s="657"/>
      <c r="BQ41" s="657"/>
    </row>
    <row r="42" spans="2:69" ht="16.95" customHeight="1" x14ac:dyDescent="0.25">
      <c r="B42" s="665"/>
      <c r="C42" s="666"/>
      <c r="D42" s="666"/>
      <c r="E42" s="667"/>
      <c r="F42" s="658"/>
      <c r="G42" s="658"/>
      <c r="H42" s="658"/>
      <c r="I42" s="658"/>
      <c r="J42" s="658"/>
      <c r="K42" s="658"/>
      <c r="L42" s="658"/>
      <c r="M42" s="658"/>
      <c r="N42" s="658"/>
      <c r="O42" s="658"/>
      <c r="P42" s="658"/>
      <c r="Q42" s="658"/>
      <c r="R42" s="658"/>
      <c r="S42" s="659"/>
      <c r="T42" s="659"/>
      <c r="U42" s="125" t="s">
        <v>2237</v>
      </c>
      <c r="V42" s="379"/>
      <c r="W42" s="379"/>
      <c r="Y42" s="665"/>
      <c r="Z42" s="666"/>
      <c r="AA42" s="666"/>
      <c r="AB42" s="667"/>
      <c r="AC42" s="658"/>
      <c r="AD42" s="658"/>
      <c r="AE42" s="658"/>
      <c r="AF42" s="658"/>
      <c r="AG42" s="658"/>
      <c r="AH42" s="658"/>
      <c r="AI42" s="658"/>
      <c r="AJ42" s="658"/>
      <c r="AK42" s="658"/>
      <c r="AL42" s="658"/>
      <c r="AM42" s="658"/>
      <c r="AN42" s="658"/>
      <c r="AO42" s="658"/>
      <c r="AP42" s="659"/>
      <c r="AQ42" s="659"/>
      <c r="AR42" s="125" t="s">
        <v>2237</v>
      </c>
      <c r="AS42" s="379"/>
      <c r="AT42" s="379"/>
      <c r="AV42" s="654"/>
      <c r="AW42" s="654"/>
      <c r="AX42" s="654"/>
      <c r="AY42" s="654"/>
      <c r="AZ42" s="654"/>
      <c r="BA42" s="655"/>
      <c r="BB42" s="655"/>
      <c r="BC42" s="655"/>
      <c r="BD42" s="655"/>
      <c r="BE42" s="655"/>
      <c r="BF42" s="655"/>
      <c r="BG42" s="656"/>
      <c r="BH42" s="656"/>
      <c r="BI42" s="656"/>
      <c r="BJ42" s="656"/>
      <c r="BK42" s="656"/>
      <c r="BL42" s="657"/>
      <c r="BM42" s="657"/>
      <c r="BN42" s="657"/>
      <c r="BO42" s="657"/>
      <c r="BP42" s="657"/>
      <c r="BQ42" s="657"/>
    </row>
    <row r="43" spans="2:69" ht="16.95" customHeight="1" x14ac:dyDescent="0.25">
      <c r="B43" s="660"/>
      <c r="C43" s="661"/>
      <c r="D43" s="661"/>
      <c r="E43" s="662"/>
      <c r="F43" s="663"/>
      <c r="G43" s="663"/>
      <c r="H43" s="663"/>
      <c r="I43" s="663"/>
      <c r="J43" s="663"/>
      <c r="K43" s="663"/>
      <c r="L43" s="663"/>
      <c r="M43" s="663"/>
      <c r="N43" s="663"/>
      <c r="O43" s="663"/>
      <c r="P43" s="663"/>
      <c r="Q43" s="663"/>
      <c r="R43" s="663"/>
      <c r="S43" s="664"/>
      <c r="T43" s="664"/>
      <c r="U43" s="125" t="s">
        <v>2237</v>
      </c>
      <c r="V43" s="396"/>
      <c r="W43" s="396"/>
      <c r="Y43" s="660"/>
      <c r="Z43" s="661"/>
      <c r="AA43" s="661"/>
      <c r="AB43" s="662"/>
      <c r="AC43" s="663"/>
      <c r="AD43" s="663"/>
      <c r="AE43" s="663"/>
      <c r="AF43" s="663"/>
      <c r="AG43" s="663"/>
      <c r="AH43" s="663"/>
      <c r="AI43" s="663"/>
      <c r="AJ43" s="663"/>
      <c r="AK43" s="663"/>
      <c r="AL43" s="663"/>
      <c r="AM43" s="663"/>
      <c r="AN43" s="663"/>
      <c r="AO43" s="663"/>
      <c r="AP43" s="664"/>
      <c r="AQ43" s="664"/>
      <c r="AR43" s="125" t="s">
        <v>2237</v>
      </c>
      <c r="AS43" s="396"/>
      <c r="AT43" s="396"/>
      <c r="AV43" s="654"/>
      <c r="AW43" s="654"/>
      <c r="AX43" s="654"/>
      <c r="AY43" s="654"/>
      <c r="AZ43" s="654"/>
      <c r="BA43" s="655"/>
      <c r="BB43" s="655"/>
      <c r="BC43" s="655"/>
      <c r="BD43" s="655"/>
      <c r="BE43" s="655"/>
      <c r="BF43" s="655"/>
      <c r="BG43" s="656"/>
      <c r="BH43" s="656"/>
      <c r="BI43" s="656"/>
      <c r="BJ43" s="656"/>
      <c r="BK43" s="656"/>
      <c r="BL43" s="657"/>
      <c r="BM43" s="657"/>
      <c r="BN43" s="657"/>
      <c r="BO43" s="657"/>
      <c r="BP43" s="657"/>
      <c r="BQ43" s="657"/>
    </row>
    <row r="44" spans="2:69" ht="16.95" customHeight="1" x14ac:dyDescent="0.25">
      <c r="B44" s="665"/>
      <c r="C44" s="666"/>
      <c r="D44" s="666"/>
      <c r="E44" s="667"/>
      <c r="F44" s="658"/>
      <c r="G44" s="658"/>
      <c r="H44" s="658"/>
      <c r="I44" s="658"/>
      <c r="J44" s="658"/>
      <c r="K44" s="658"/>
      <c r="L44" s="658"/>
      <c r="M44" s="658"/>
      <c r="N44" s="658"/>
      <c r="O44" s="658"/>
      <c r="P44" s="658"/>
      <c r="Q44" s="658"/>
      <c r="R44" s="658"/>
      <c r="S44" s="659"/>
      <c r="T44" s="659"/>
      <c r="U44" s="125" t="s">
        <v>2237</v>
      </c>
      <c r="V44" s="379"/>
      <c r="W44" s="379"/>
      <c r="Y44" s="665"/>
      <c r="Z44" s="666"/>
      <c r="AA44" s="666"/>
      <c r="AB44" s="667"/>
      <c r="AC44" s="658"/>
      <c r="AD44" s="658"/>
      <c r="AE44" s="658"/>
      <c r="AF44" s="658"/>
      <c r="AG44" s="658"/>
      <c r="AH44" s="658"/>
      <c r="AI44" s="658"/>
      <c r="AJ44" s="658"/>
      <c r="AK44" s="658"/>
      <c r="AL44" s="658"/>
      <c r="AM44" s="658"/>
      <c r="AN44" s="658"/>
      <c r="AO44" s="658"/>
      <c r="AP44" s="659"/>
      <c r="AQ44" s="659"/>
      <c r="AR44" s="125" t="s">
        <v>2237</v>
      </c>
      <c r="AS44" s="379"/>
      <c r="AT44" s="379"/>
      <c r="AV44" s="654"/>
      <c r="AW44" s="654"/>
      <c r="AX44" s="654"/>
      <c r="AY44" s="654"/>
      <c r="AZ44" s="654"/>
      <c r="BA44" s="655"/>
      <c r="BB44" s="655"/>
      <c r="BC44" s="655"/>
      <c r="BD44" s="655"/>
      <c r="BE44" s="655"/>
      <c r="BF44" s="655"/>
      <c r="BG44" s="656"/>
      <c r="BH44" s="656"/>
      <c r="BI44" s="656"/>
      <c r="BJ44" s="656"/>
      <c r="BK44" s="656"/>
      <c r="BL44" s="657"/>
      <c r="BM44" s="657"/>
      <c r="BN44" s="657"/>
      <c r="BO44" s="657"/>
      <c r="BP44" s="657"/>
      <c r="BQ44" s="657"/>
    </row>
    <row r="45" spans="2:69" ht="16.95" customHeight="1" x14ac:dyDescent="0.25">
      <c r="B45" s="660"/>
      <c r="C45" s="661"/>
      <c r="D45" s="661"/>
      <c r="E45" s="662"/>
      <c r="F45" s="668"/>
      <c r="G45" s="668"/>
      <c r="H45" s="668"/>
      <c r="I45" s="668"/>
      <c r="J45" s="668"/>
      <c r="K45" s="668"/>
      <c r="L45" s="668"/>
      <c r="M45" s="668"/>
      <c r="N45" s="668"/>
      <c r="O45" s="668"/>
      <c r="P45" s="668"/>
      <c r="Q45" s="668"/>
      <c r="R45" s="668"/>
      <c r="S45" s="664"/>
      <c r="T45" s="664"/>
      <c r="U45" s="125" t="s">
        <v>2237</v>
      </c>
      <c r="V45" s="390"/>
      <c r="W45" s="390"/>
      <c r="Y45" s="660"/>
      <c r="Z45" s="661"/>
      <c r="AA45" s="661"/>
      <c r="AB45" s="662"/>
      <c r="AC45" s="668"/>
      <c r="AD45" s="668"/>
      <c r="AE45" s="668"/>
      <c r="AF45" s="668"/>
      <c r="AG45" s="668"/>
      <c r="AH45" s="668"/>
      <c r="AI45" s="668"/>
      <c r="AJ45" s="668"/>
      <c r="AK45" s="668"/>
      <c r="AL45" s="668"/>
      <c r="AM45" s="668"/>
      <c r="AN45" s="668"/>
      <c r="AO45" s="668"/>
      <c r="AP45" s="664"/>
      <c r="AQ45" s="664"/>
      <c r="AR45" s="125" t="s">
        <v>2237</v>
      </c>
      <c r="AS45" s="390"/>
      <c r="AT45" s="390"/>
      <c r="AV45" s="654"/>
      <c r="AW45" s="654"/>
      <c r="AX45" s="654"/>
      <c r="AY45" s="654"/>
      <c r="AZ45" s="654"/>
      <c r="BA45" s="655"/>
      <c r="BB45" s="655"/>
      <c r="BC45" s="655"/>
      <c r="BD45" s="655"/>
      <c r="BE45" s="655"/>
      <c r="BF45" s="655"/>
      <c r="BG45" s="656"/>
      <c r="BH45" s="656"/>
      <c r="BI45" s="656"/>
      <c r="BJ45" s="656"/>
      <c r="BK45" s="656"/>
      <c r="BL45" s="657"/>
      <c r="BM45" s="657"/>
      <c r="BN45" s="657"/>
      <c r="BO45" s="657"/>
      <c r="BP45" s="657"/>
      <c r="BQ45" s="657"/>
    </row>
    <row r="46" spans="2:69" ht="16.95" customHeight="1" x14ac:dyDescent="0.25">
      <c r="B46" s="665"/>
      <c r="C46" s="666"/>
      <c r="D46" s="666"/>
      <c r="E46" s="667"/>
      <c r="F46" s="658"/>
      <c r="G46" s="658"/>
      <c r="H46" s="658"/>
      <c r="I46" s="658"/>
      <c r="J46" s="658"/>
      <c r="K46" s="658"/>
      <c r="L46" s="658"/>
      <c r="M46" s="658"/>
      <c r="N46" s="658"/>
      <c r="O46" s="658"/>
      <c r="P46" s="658"/>
      <c r="Q46" s="658"/>
      <c r="R46" s="658"/>
      <c r="S46" s="659"/>
      <c r="T46" s="659"/>
      <c r="U46" s="125" t="s">
        <v>2237</v>
      </c>
      <c r="V46" s="379"/>
      <c r="W46" s="379"/>
      <c r="Y46" s="665"/>
      <c r="Z46" s="666"/>
      <c r="AA46" s="666"/>
      <c r="AB46" s="667"/>
      <c r="AC46" s="658"/>
      <c r="AD46" s="658"/>
      <c r="AE46" s="658"/>
      <c r="AF46" s="658"/>
      <c r="AG46" s="658"/>
      <c r="AH46" s="658"/>
      <c r="AI46" s="658"/>
      <c r="AJ46" s="658"/>
      <c r="AK46" s="658"/>
      <c r="AL46" s="658"/>
      <c r="AM46" s="658"/>
      <c r="AN46" s="658"/>
      <c r="AO46" s="658"/>
      <c r="AP46" s="659"/>
      <c r="AQ46" s="659"/>
      <c r="AR46" s="125" t="s">
        <v>2237</v>
      </c>
      <c r="AS46" s="379"/>
      <c r="AT46" s="379"/>
    </row>
    <row r="47" spans="2:69" ht="16.95" customHeight="1" x14ac:dyDescent="0.25">
      <c r="B47" s="660"/>
      <c r="C47" s="661"/>
      <c r="D47" s="661"/>
      <c r="E47" s="662"/>
      <c r="F47" s="663"/>
      <c r="G47" s="663"/>
      <c r="H47" s="663"/>
      <c r="I47" s="663"/>
      <c r="J47" s="663"/>
      <c r="K47" s="663"/>
      <c r="L47" s="663"/>
      <c r="M47" s="663"/>
      <c r="N47" s="663"/>
      <c r="O47" s="663"/>
      <c r="P47" s="663"/>
      <c r="Q47" s="663"/>
      <c r="R47" s="663"/>
      <c r="S47" s="664"/>
      <c r="T47" s="664"/>
      <c r="U47" s="125" t="s">
        <v>2237</v>
      </c>
      <c r="V47" s="396"/>
      <c r="W47" s="396"/>
      <c r="Y47" s="660"/>
      <c r="Z47" s="661"/>
      <c r="AA47" s="661"/>
      <c r="AB47" s="662"/>
      <c r="AC47" s="663"/>
      <c r="AD47" s="663"/>
      <c r="AE47" s="663"/>
      <c r="AF47" s="663"/>
      <c r="AG47" s="663"/>
      <c r="AH47" s="663"/>
      <c r="AI47" s="663"/>
      <c r="AJ47" s="663"/>
      <c r="AK47" s="663"/>
      <c r="AL47" s="663"/>
      <c r="AM47" s="663"/>
      <c r="AN47" s="663"/>
      <c r="AO47" s="663"/>
      <c r="AP47" s="664"/>
      <c r="AQ47" s="664"/>
      <c r="AR47" s="125" t="s">
        <v>2237</v>
      </c>
      <c r="AS47" s="396"/>
      <c r="AT47" s="396"/>
      <c r="AV47" s="670" t="s">
        <v>2238</v>
      </c>
      <c r="AW47" s="670"/>
      <c r="AX47" s="670"/>
      <c r="AY47" s="670"/>
      <c r="AZ47" s="670"/>
      <c r="BA47" s="670"/>
      <c r="BB47" s="670"/>
      <c r="BC47" s="670"/>
      <c r="BD47" s="479">
        <v>15</v>
      </c>
      <c r="BE47" s="479"/>
    </row>
    <row r="48" spans="2:69" ht="16.95" customHeight="1" x14ac:dyDescent="0.25">
      <c r="B48" s="665"/>
      <c r="C48" s="666"/>
      <c r="D48" s="666"/>
      <c r="E48" s="667"/>
      <c r="F48" s="658"/>
      <c r="G48" s="658"/>
      <c r="H48" s="658"/>
      <c r="I48" s="658"/>
      <c r="J48" s="658"/>
      <c r="K48" s="658"/>
      <c r="L48" s="658"/>
      <c r="M48" s="658"/>
      <c r="N48" s="658"/>
      <c r="O48" s="658"/>
      <c r="P48" s="658"/>
      <c r="Q48" s="658"/>
      <c r="R48" s="658"/>
      <c r="S48" s="659"/>
      <c r="T48" s="659"/>
      <c r="U48" s="125" t="s">
        <v>2237</v>
      </c>
      <c r="V48" s="379"/>
      <c r="W48" s="379"/>
      <c r="Y48" s="665"/>
      <c r="Z48" s="666"/>
      <c r="AA48" s="666"/>
      <c r="AB48" s="667"/>
      <c r="AC48" s="658"/>
      <c r="AD48" s="658"/>
      <c r="AE48" s="658"/>
      <c r="AF48" s="658"/>
      <c r="AG48" s="658"/>
      <c r="AH48" s="658"/>
      <c r="AI48" s="658"/>
      <c r="AJ48" s="658"/>
      <c r="AK48" s="658"/>
      <c r="AL48" s="658"/>
      <c r="AM48" s="658"/>
      <c r="AN48" s="658"/>
      <c r="AO48" s="658"/>
      <c r="AP48" s="659"/>
      <c r="AQ48" s="659"/>
      <c r="AR48" s="125" t="s">
        <v>2237</v>
      </c>
      <c r="AS48" s="379"/>
      <c r="AT48" s="379"/>
      <c r="AV48" s="670" t="s">
        <v>2239</v>
      </c>
      <c r="AW48" s="670"/>
      <c r="AX48" s="670"/>
      <c r="AY48" s="670"/>
      <c r="AZ48" s="670"/>
      <c r="BA48" s="670"/>
      <c r="BB48" s="670"/>
      <c r="BC48" s="670"/>
      <c r="BD48" s="669" cm="1">
        <f t="array" ref="BD48">SUM(数据表!BN14:BN23+数据表!BN25:BN34)</f>
        <v>0</v>
      </c>
      <c r="BE48" s="669"/>
    </row>
    <row r="49" spans="2:57" ht="16.95" customHeight="1" x14ac:dyDescent="0.25">
      <c r="B49" s="660"/>
      <c r="C49" s="661"/>
      <c r="D49" s="661"/>
      <c r="E49" s="662"/>
      <c r="F49" s="663"/>
      <c r="G49" s="663"/>
      <c r="H49" s="663"/>
      <c r="I49" s="663"/>
      <c r="J49" s="663"/>
      <c r="K49" s="663"/>
      <c r="L49" s="663"/>
      <c r="M49" s="663"/>
      <c r="N49" s="663"/>
      <c r="O49" s="663"/>
      <c r="P49" s="663"/>
      <c r="Q49" s="663"/>
      <c r="R49" s="663"/>
      <c r="S49" s="664"/>
      <c r="T49" s="664"/>
      <c r="U49" s="125" t="s">
        <v>2237</v>
      </c>
      <c r="V49" s="396"/>
      <c r="W49" s="396"/>
      <c r="Y49" s="660"/>
      <c r="Z49" s="661"/>
      <c r="AA49" s="661"/>
      <c r="AB49" s="662"/>
      <c r="AC49" s="663"/>
      <c r="AD49" s="663"/>
      <c r="AE49" s="663"/>
      <c r="AF49" s="663"/>
      <c r="AG49" s="663"/>
      <c r="AH49" s="663"/>
      <c r="AI49" s="663"/>
      <c r="AJ49" s="663"/>
      <c r="AK49" s="663"/>
      <c r="AL49" s="663"/>
      <c r="AM49" s="663"/>
      <c r="AN49" s="663"/>
      <c r="AO49" s="663"/>
      <c r="AP49" s="664"/>
      <c r="AQ49" s="664"/>
      <c r="AR49" s="125" t="s">
        <v>2237</v>
      </c>
      <c r="AS49" s="396"/>
      <c r="AT49" s="396"/>
      <c r="AV49" s="670" t="s">
        <v>2240</v>
      </c>
      <c r="AW49" s="670"/>
      <c r="AX49" s="670"/>
      <c r="AY49" s="670"/>
      <c r="AZ49" s="670"/>
      <c r="BA49" s="670"/>
      <c r="BB49" s="670"/>
      <c r="BC49" s="670"/>
      <c r="BD49" s="479">
        <v>500</v>
      </c>
      <c r="BE49" s="479"/>
    </row>
  </sheetData>
  <sheetProtection sheet="1" selectLockedCells="1"/>
  <mergeCells count="533">
    <mergeCell ref="AV28:AZ28"/>
    <mergeCell ref="AV29:AZ29"/>
    <mergeCell ref="AV4:BF4"/>
    <mergeCell ref="BG4:BQ4"/>
    <mergeCell ref="BA28:BF28"/>
    <mergeCell ref="BG28:BK28"/>
    <mergeCell ref="BL28:BQ28"/>
    <mergeCell ref="BA29:BF29"/>
    <mergeCell ref="BG29:BK29"/>
    <mergeCell ref="BL29:BQ29"/>
    <mergeCell ref="AV25:AZ25"/>
    <mergeCell ref="AV26:AZ26"/>
    <mergeCell ref="AV27:AZ27"/>
    <mergeCell ref="BA25:BF25"/>
    <mergeCell ref="BG25:BK25"/>
    <mergeCell ref="BL25:BQ25"/>
    <mergeCell ref="BA26:BF26"/>
    <mergeCell ref="BG26:BK26"/>
    <mergeCell ref="BL26:BQ26"/>
    <mergeCell ref="BA27:BF27"/>
    <mergeCell ref="BG27:BK27"/>
    <mergeCell ref="BL27:BQ27"/>
    <mergeCell ref="AV22:AZ22"/>
    <mergeCell ref="AV23:AZ23"/>
    <mergeCell ref="AV24:AZ24"/>
    <mergeCell ref="BA22:BF22"/>
    <mergeCell ref="BG22:BK22"/>
    <mergeCell ref="BL22:BQ22"/>
    <mergeCell ref="BA23:BF23"/>
    <mergeCell ref="BG23:BK23"/>
    <mergeCell ref="BL23:BQ23"/>
    <mergeCell ref="BA24:BF24"/>
    <mergeCell ref="BG24:BK24"/>
    <mergeCell ref="BL24:BQ24"/>
    <mergeCell ref="AV19:AZ19"/>
    <mergeCell ref="AV20:AZ20"/>
    <mergeCell ref="AV21:AZ21"/>
    <mergeCell ref="BA19:BF19"/>
    <mergeCell ref="BG19:BK19"/>
    <mergeCell ref="BL19:BQ19"/>
    <mergeCell ref="BA20:BF20"/>
    <mergeCell ref="BG20:BK20"/>
    <mergeCell ref="BL20:BQ20"/>
    <mergeCell ref="BA21:BF21"/>
    <mergeCell ref="BG21:BK21"/>
    <mergeCell ref="BL21:BQ21"/>
    <mergeCell ref="AV16:AZ16"/>
    <mergeCell ref="AV17:AZ17"/>
    <mergeCell ref="AV18:AZ18"/>
    <mergeCell ref="BA16:BF16"/>
    <mergeCell ref="BG16:BK16"/>
    <mergeCell ref="BL16:BQ16"/>
    <mergeCell ref="BA17:BF17"/>
    <mergeCell ref="BG17:BK17"/>
    <mergeCell ref="BL17:BQ17"/>
    <mergeCell ref="BA18:BF18"/>
    <mergeCell ref="BG18:BK18"/>
    <mergeCell ref="BL18:BQ18"/>
    <mergeCell ref="AV13:AZ13"/>
    <mergeCell ref="AV14:AZ14"/>
    <mergeCell ref="AV15:AZ15"/>
    <mergeCell ref="BA13:BF13"/>
    <mergeCell ref="BG13:BK13"/>
    <mergeCell ref="BL13:BQ13"/>
    <mergeCell ref="BA14:BF14"/>
    <mergeCell ref="BG14:BK14"/>
    <mergeCell ref="BL14:BQ14"/>
    <mergeCell ref="BA15:BF15"/>
    <mergeCell ref="BG15:BK15"/>
    <mergeCell ref="BL15:BQ15"/>
    <mergeCell ref="AV10:AZ10"/>
    <mergeCell ref="AV11:AZ11"/>
    <mergeCell ref="AV12:AZ12"/>
    <mergeCell ref="BA10:BF10"/>
    <mergeCell ref="BG10:BK10"/>
    <mergeCell ref="BL10:BQ10"/>
    <mergeCell ref="BA11:BF11"/>
    <mergeCell ref="BG11:BK11"/>
    <mergeCell ref="BL11:BQ11"/>
    <mergeCell ref="BA12:BF12"/>
    <mergeCell ref="BG12:BK12"/>
    <mergeCell ref="BL12:BQ12"/>
    <mergeCell ref="AV7:AZ7"/>
    <mergeCell ref="AV8:AZ8"/>
    <mergeCell ref="AV9:AZ9"/>
    <mergeCell ref="BA7:BF7"/>
    <mergeCell ref="BG7:BK7"/>
    <mergeCell ref="BL7:BQ7"/>
    <mergeCell ref="BA8:BF8"/>
    <mergeCell ref="BG8:BK8"/>
    <mergeCell ref="BL8:BQ8"/>
    <mergeCell ref="BA9:BF9"/>
    <mergeCell ref="BG9:BK9"/>
    <mergeCell ref="BL9:BQ9"/>
    <mergeCell ref="A1:BR1"/>
    <mergeCell ref="AV5:AZ5"/>
    <mergeCell ref="AV6:AZ6"/>
    <mergeCell ref="AV3:BQ3"/>
    <mergeCell ref="BA5:BF5"/>
    <mergeCell ref="BG5:BK5"/>
    <mergeCell ref="BL5:BQ5"/>
    <mergeCell ref="BA6:BF6"/>
    <mergeCell ref="BG6:BK6"/>
    <mergeCell ref="BL6:BQ6"/>
    <mergeCell ref="B3:W3"/>
    <mergeCell ref="Y3:AR3"/>
    <mergeCell ref="AS3:AT3"/>
    <mergeCell ref="B4:E4"/>
    <mergeCell ref="F4:U4"/>
    <mergeCell ref="V4:W4"/>
    <mergeCell ref="Y4:AB4"/>
    <mergeCell ref="AC4:AO4"/>
    <mergeCell ref="AP4:AQ4"/>
    <mergeCell ref="AS4:AT4"/>
    <mergeCell ref="B5:E5"/>
    <mergeCell ref="F5:U5"/>
    <mergeCell ref="V5:W5"/>
    <mergeCell ref="Y5:AB5"/>
    <mergeCell ref="AC5:AO5"/>
    <mergeCell ref="AP5:AQ5"/>
    <mergeCell ref="AS5:AT5"/>
    <mergeCell ref="B6:E6"/>
    <mergeCell ref="F6:U6"/>
    <mergeCell ref="V6:W6"/>
    <mergeCell ref="Y6:AB6"/>
    <mergeCell ref="AC6:AO6"/>
    <mergeCell ref="AP6:AQ6"/>
    <mergeCell ref="AS6:AT6"/>
    <mergeCell ref="B7:E7"/>
    <mergeCell ref="F7:U7"/>
    <mergeCell ref="V7:W7"/>
    <mergeCell ref="Y7:AB7"/>
    <mergeCell ref="AC7:AO7"/>
    <mergeCell ref="AP7:AQ7"/>
    <mergeCell ref="AS7:AT7"/>
    <mergeCell ref="B8:E8"/>
    <mergeCell ref="F8:U8"/>
    <mergeCell ref="V8:W8"/>
    <mergeCell ref="Y8:AB8"/>
    <mergeCell ref="AC8:AO8"/>
    <mergeCell ref="AP8:AQ8"/>
    <mergeCell ref="AS8:AT8"/>
    <mergeCell ref="B9:E9"/>
    <mergeCell ref="F9:U9"/>
    <mergeCell ref="V9:W9"/>
    <mergeCell ref="Y9:AB9"/>
    <mergeCell ref="AC9:AO9"/>
    <mergeCell ref="AP9:AQ9"/>
    <mergeCell ref="AS9:AT9"/>
    <mergeCell ref="B10:E10"/>
    <mergeCell ref="F10:U10"/>
    <mergeCell ref="V10:W10"/>
    <mergeCell ref="Y10:AB10"/>
    <mergeCell ref="AC10:AO10"/>
    <mergeCell ref="AP10:AQ10"/>
    <mergeCell ref="AS10:AT10"/>
    <mergeCell ref="B11:E11"/>
    <mergeCell ref="F11:U11"/>
    <mergeCell ref="V11:W11"/>
    <mergeCell ref="Y11:AB11"/>
    <mergeCell ref="AC11:AO11"/>
    <mergeCell ref="AP11:AQ11"/>
    <mergeCell ref="AS11:AT11"/>
    <mergeCell ref="B12:E12"/>
    <mergeCell ref="F12:U12"/>
    <mergeCell ref="V12:W12"/>
    <mergeCell ref="Y12:AB12"/>
    <mergeCell ref="AC12:AO12"/>
    <mergeCell ref="AP12:AQ12"/>
    <mergeCell ref="AS12:AT12"/>
    <mergeCell ref="B13:E13"/>
    <mergeCell ref="F13:U13"/>
    <mergeCell ref="V13:W13"/>
    <mergeCell ref="Y13:AB13"/>
    <mergeCell ref="AC13:AO13"/>
    <mergeCell ref="AP13:AQ13"/>
    <mergeCell ref="AS13:AT13"/>
    <mergeCell ref="B14:E14"/>
    <mergeCell ref="F14:U14"/>
    <mergeCell ref="V14:W14"/>
    <mergeCell ref="Y14:AB14"/>
    <mergeCell ref="AC14:AO14"/>
    <mergeCell ref="AP14:AQ14"/>
    <mergeCell ref="AS14:AT14"/>
    <mergeCell ref="B15:E15"/>
    <mergeCell ref="F15:G15"/>
    <mergeCell ref="H15:P15"/>
    <mergeCell ref="Q15:U15"/>
    <mergeCell ref="V15:W15"/>
    <mergeCell ref="Y15:AB15"/>
    <mergeCell ref="AC15:AO15"/>
    <mergeCell ref="AP15:AQ15"/>
    <mergeCell ref="AS15:AT15"/>
    <mergeCell ref="B16:E16"/>
    <mergeCell ref="F16:G16"/>
    <mergeCell ref="H16:P16"/>
    <mergeCell ref="Q16:U16"/>
    <mergeCell ref="V16:W16"/>
    <mergeCell ref="Y16:AB16"/>
    <mergeCell ref="AC16:AO16"/>
    <mergeCell ref="AP16:AQ16"/>
    <mergeCell ref="AS16:AT16"/>
    <mergeCell ref="B17:E17"/>
    <mergeCell ref="F17:G17"/>
    <mergeCell ref="H17:P17"/>
    <mergeCell ref="Q17:U17"/>
    <mergeCell ref="V17:W17"/>
    <mergeCell ref="Y17:AB17"/>
    <mergeCell ref="AC17:AO17"/>
    <mergeCell ref="AP17:AQ17"/>
    <mergeCell ref="AS17:AT17"/>
    <mergeCell ref="B18:E18"/>
    <mergeCell ref="F18:G18"/>
    <mergeCell ref="H18:P18"/>
    <mergeCell ref="Q18:U18"/>
    <mergeCell ref="V18:W18"/>
    <mergeCell ref="Y18:AB18"/>
    <mergeCell ref="AC18:AO18"/>
    <mergeCell ref="AP18:AQ18"/>
    <mergeCell ref="AS18:AT18"/>
    <mergeCell ref="B19:E19"/>
    <mergeCell ref="F19:G19"/>
    <mergeCell ref="H19:P19"/>
    <mergeCell ref="Q19:U19"/>
    <mergeCell ref="V19:W19"/>
    <mergeCell ref="Y19:AB19"/>
    <mergeCell ref="AC19:AO19"/>
    <mergeCell ref="AP19:AQ19"/>
    <mergeCell ref="AS19:AT19"/>
    <mergeCell ref="B20:E20"/>
    <mergeCell ref="F20:G20"/>
    <mergeCell ref="H20:P20"/>
    <mergeCell ref="Q20:U20"/>
    <mergeCell ref="V20:W20"/>
    <mergeCell ref="Y20:AB20"/>
    <mergeCell ref="AC20:AO20"/>
    <mergeCell ref="AP20:AQ20"/>
    <mergeCell ref="AS20:AT20"/>
    <mergeCell ref="B21:E21"/>
    <mergeCell ref="F21:G21"/>
    <mergeCell ref="H21:P21"/>
    <mergeCell ref="Q21:U21"/>
    <mergeCell ref="V21:W21"/>
    <mergeCell ref="Y21:AB21"/>
    <mergeCell ref="AC21:AO21"/>
    <mergeCell ref="AP21:AQ21"/>
    <mergeCell ref="AS21:AT21"/>
    <mergeCell ref="B22:E22"/>
    <mergeCell ref="F22:G22"/>
    <mergeCell ref="H22:P22"/>
    <mergeCell ref="Q22:U22"/>
    <mergeCell ref="V22:W22"/>
    <mergeCell ref="Y22:AB22"/>
    <mergeCell ref="AC22:AO22"/>
    <mergeCell ref="AP22:AQ22"/>
    <mergeCell ref="AS22:AT22"/>
    <mergeCell ref="B23:E23"/>
    <mergeCell ref="F23:G23"/>
    <mergeCell ref="H23:P23"/>
    <mergeCell ref="Q23:U23"/>
    <mergeCell ref="V23:W23"/>
    <mergeCell ref="Y23:AB23"/>
    <mergeCell ref="AC23:AO23"/>
    <mergeCell ref="AP23:AQ23"/>
    <mergeCell ref="AS23:AT23"/>
    <mergeCell ref="B24:E24"/>
    <mergeCell ref="F24:G24"/>
    <mergeCell ref="H24:P24"/>
    <mergeCell ref="Q24:U24"/>
    <mergeCell ref="V24:W24"/>
    <mergeCell ref="Y24:AB24"/>
    <mergeCell ref="AC24:AO24"/>
    <mergeCell ref="AP24:AQ24"/>
    <mergeCell ref="AS24:AT24"/>
    <mergeCell ref="B25:E25"/>
    <mergeCell ref="F25:G25"/>
    <mergeCell ref="H25:P25"/>
    <mergeCell ref="Q25:U25"/>
    <mergeCell ref="V25:W25"/>
    <mergeCell ref="Y25:AB25"/>
    <mergeCell ref="AC25:AO25"/>
    <mergeCell ref="AP25:AQ25"/>
    <mergeCell ref="AS25:AT25"/>
    <mergeCell ref="B27:U27"/>
    <mergeCell ref="V27:W27"/>
    <mergeCell ref="Y27:AR27"/>
    <mergeCell ref="AS27:AT27"/>
    <mergeCell ref="AV47:BC47"/>
    <mergeCell ref="BD47:BE47"/>
    <mergeCell ref="B28:E28"/>
    <mergeCell ref="F28:R28"/>
    <mergeCell ref="S28:T28"/>
    <mergeCell ref="V28:W28"/>
    <mergeCell ref="Y28:AB28"/>
    <mergeCell ref="AC28:AO28"/>
    <mergeCell ref="AP28:AQ28"/>
    <mergeCell ref="AS28:AT28"/>
    <mergeCell ref="B29:E29"/>
    <mergeCell ref="F29:R29"/>
    <mergeCell ref="S29:T29"/>
    <mergeCell ref="V29:W29"/>
    <mergeCell ref="B32:E32"/>
    <mergeCell ref="F32:R32"/>
    <mergeCell ref="S32:T32"/>
    <mergeCell ref="V32:W32"/>
    <mergeCell ref="Y32:AB32"/>
    <mergeCell ref="AC32:AO32"/>
    <mergeCell ref="Y29:AB29"/>
    <mergeCell ref="AC29:AO29"/>
    <mergeCell ref="AP29:AQ29"/>
    <mergeCell ref="AS29:AT29"/>
    <mergeCell ref="AV49:BC49"/>
    <mergeCell ref="B31:E31"/>
    <mergeCell ref="F31:R31"/>
    <mergeCell ref="S31:T31"/>
    <mergeCell ref="V31:W31"/>
    <mergeCell ref="Y31:AB31"/>
    <mergeCell ref="AC31:AO31"/>
    <mergeCell ref="AP31:AQ31"/>
    <mergeCell ref="AS31:AT31"/>
    <mergeCell ref="AP32:AQ32"/>
    <mergeCell ref="AS32:AT32"/>
    <mergeCell ref="B37:E37"/>
    <mergeCell ref="F37:R37"/>
    <mergeCell ref="AV48:BC48"/>
    <mergeCell ref="AP34:AQ34"/>
    <mergeCell ref="AS34:AT34"/>
    <mergeCell ref="B39:E39"/>
    <mergeCell ref="F39:R39"/>
    <mergeCell ref="S39:T39"/>
    <mergeCell ref="V39:W39"/>
    <mergeCell ref="BD49:BE49"/>
    <mergeCell ref="B30:E30"/>
    <mergeCell ref="F30:R30"/>
    <mergeCell ref="S30:T30"/>
    <mergeCell ref="V30:W30"/>
    <mergeCell ref="Y30:AB30"/>
    <mergeCell ref="AC30:AO30"/>
    <mergeCell ref="AP30:AQ30"/>
    <mergeCell ref="AS30:AT30"/>
    <mergeCell ref="B33:E33"/>
    <mergeCell ref="F33:R33"/>
    <mergeCell ref="S33:T33"/>
    <mergeCell ref="V33:W33"/>
    <mergeCell ref="Y33:AB33"/>
    <mergeCell ref="AC33:AO33"/>
    <mergeCell ref="AP33:AQ33"/>
    <mergeCell ref="AS33:AT33"/>
    <mergeCell ref="B34:E34"/>
    <mergeCell ref="F34:R34"/>
    <mergeCell ref="S34:T34"/>
    <mergeCell ref="V34:W34"/>
    <mergeCell ref="Y34:AB34"/>
    <mergeCell ref="AC34:AO34"/>
    <mergeCell ref="B35:E35"/>
    <mergeCell ref="F35:R35"/>
    <mergeCell ref="S35:T35"/>
    <mergeCell ref="V35:W35"/>
    <mergeCell ref="B36:E36"/>
    <mergeCell ref="F36:R36"/>
    <mergeCell ref="S36:T36"/>
    <mergeCell ref="V36:W36"/>
    <mergeCell ref="BD48:BE48"/>
    <mergeCell ref="Y35:AB35"/>
    <mergeCell ref="AC35:AO35"/>
    <mergeCell ref="AP35:AQ35"/>
    <mergeCell ref="AS35:AT35"/>
    <mergeCell ref="B44:E44"/>
    <mergeCell ref="F44:R44"/>
    <mergeCell ref="S44:T44"/>
    <mergeCell ref="V44:W44"/>
    <mergeCell ref="Y37:AB37"/>
    <mergeCell ref="AC37:AO37"/>
    <mergeCell ref="AP37:AQ37"/>
    <mergeCell ref="AS37:AT37"/>
    <mergeCell ref="Y36:AB36"/>
    <mergeCell ref="AC36:AO36"/>
    <mergeCell ref="AP36:AQ36"/>
    <mergeCell ref="AS36:AT36"/>
    <mergeCell ref="B49:E49"/>
    <mergeCell ref="F49:R49"/>
    <mergeCell ref="S49:T49"/>
    <mergeCell ref="V49:W49"/>
    <mergeCell ref="S37:T37"/>
    <mergeCell ref="V37:W37"/>
    <mergeCell ref="B38:E38"/>
    <mergeCell ref="F38:R38"/>
    <mergeCell ref="S38:T38"/>
    <mergeCell ref="V38:W38"/>
    <mergeCell ref="B41:E41"/>
    <mergeCell ref="F41:R41"/>
    <mergeCell ref="S41:T41"/>
    <mergeCell ref="V41:W41"/>
    <mergeCell ref="B46:E46"/>
    <mergeCell ref="F46:R46"/>
    <mergeCell ref="S46:T46"/>
    <mergeCell ref="V46:W46"/>
    <mergeCell ref="B47:E47"/>
    <mergeCell ref="F47:R47"/>
    <mergeCell ref="S47:T47"/>
    <mergeCell ref="V47:W47"/>
    <mergeCell ref="B48:E48"/>
    <mergeCell ref="F48:R48"/>
    <mergeCell ref="Y38:AB38"/>
    <mergeCell ref="AC38:AO38"/>
    <mergeCell ref="AP38:AQ38"/>
    <mergeCell ref="AS38:AT38"/>
    <mergeCell ref="B40:E40"/>
    <mergeCell ref="F40:R40"/>
    <mergeCell ref="S40:T40"/>
    <mergeCell ref="V40:W40"/>
    <mergeCell ref="V43:W43"/>
    <mergeCell ref="Y39:AB39"/>
    <mergeCell ref="AC39:AO39"/>
    <mergeCell ref="AP39:AQ39"/>
    <mergeCell ref="AS39:AT39"/>
    <mergeCell ref="AC40:AO40"/>
    <mergeCell ref="AP40:AQ40"/>
    <mergeCell ref="AS40:AT40"/>
    <mergeCell ref="AC41:AO41"/>
    <mergeCell ref="AP41:AQ41"/>
    <mergeCell ref="AS41:AT41"/>
    <mergeCell ref="AC42:AO42"/>
    <mergeCell ref="AP42:AQ42"/>
    <mergeCell ref="AS42:AT42"/>
    <mergeCell ref="AC43:AO43"/>
    <mergeCell ref="AP43:AQ43"/>
    <mergeCell ref="AS43:AT43"/>
    <mergeCell ref="S48:T48"/>
    <mergeCell ref="V48:W48"/>
    <mergeCell ref="Y40:AB40"/>
    <mergeCell ref="B45:E45"/>
    <mergeCell ref="F45:R45"/>
    <mergeCell ref="S45:T45"/>
    <mergeCell ref="V45:W45"/>
    <mergeCell ref="Y45:AB45"/>
    <mergeCell ref="Y41:AB41"/>
    <mergeCell ref="B42:E42"/>
    <mergeCell ref="F42:R42"/>
    <mergeCell ref="S42:T42"/>
    <mergeCell ref="V42:W42"/>
    <mergeCell ref="Y42:AB42"/>
    <mergeCell ref="Y43:AB43"/>
    <mergeCell ref="B43:E43"/>
    <mergeCell ref="F43:R43"/>
    <mergeCell ref="S43:T43"/>
    <mergeCell ref="Y46:AB46"/>
    <mergeCell ref="AC46:AO46"/>
    <mergeCell ref="AP46:AQ46"/>
    <mergeCell ref="AS46:AT46"/>
    <mergeCell ref="Y44:AB44"/>
    <mergeCell ref="AC44:AO44"/>
    <mergeCell ref="AP44:AQ44"/>
    <mergeCell ref="AS44:AT44"/>
    <mergeCell ref="Y49:AB49"/>
    <mergeCell ref="AC49:AO49"/>
    <mergeCell ref="AP49:AQ49"/>
    <mergeCell ref="AS49:AT49"/>
    <mergeCell ref="Y47:AB47"/>
    <mergeCell ref="AC47:AO47"/>
    <mergeCell ref="AP47:AQ47"/>
    <mergeCell ref="AS47:AT47"/>
    <mergeCell ref="Y48:AB48"/>
    <mergeCell ref="AC48:AO48"/>
    <mergeCell ref="AP48:AQ48"/>
    <mergeCell ref="AS48:AT48"/>
    <mergeCell ref="AC45:AO45"/>
    <mergeCell ref="AP45:AQ45"/>
    <mergeCell ref="AS45:AT45"/>
    <mergeCell ref="AV30:AZ30"/>
    <mergeCell ref="BA30:BF30"/>
    <mergeCell ref="BG30:BK30"/>
    <mergeCell ref="BL30:BQ30"/>
    <mergeCell ref="AV31:AZ31"/>
    <mergeCell ref="BA31:BF31"/>
    <mergeCell ref="BG31:BK31"/>
    <mergeCell ref="BL31:BQ31"/>
    <mergeCell ref="AV32:AZ32"/>
    <mergeCell ref="BA32:BF32"/>
    <mergeCell ref="BG32:BK32"/>
    <mergeCell ref="BL32:BQ32"/>
    <mergeCell ref="AV33:AZ33"/>
    <mergeCell ref="BA33:BF33"/>
    <mergeCell ref="BG33:BK33"/>
    <mergeCell ref="BL33:BQ33"/>
    <mergeCell ref="AV34:AZ34"/>
    <mergeCell ref="BA34:BF34"/>
    <mergeCell ref="BG34:BK34"/>
    <mergeCell ref="BL34:BQ34"/>
    <mergeCell ref="AV35:AZ35"/>
    <mergeCell ref="BA35:BF35"/>
    <mergeCell ref="BG35:BK35"/>
    <mergeCell ref="BL35:BQ35"/>
    <mergeCell ref="AV36:AZ36"/>
    <mergeCell ref="BA36:BF36"/>
    <mergeCell ref="BG36:BK36"/>
    <mergeCell ref="BL36:BQ36"/>
    <mergeCell ref="AV37:AZ37"/>
    <mergeCell ref="BA37:BF37"/>
    <mergeCell ref="BG37:BK37"/>
    <mergeCell ref="BL37:BQ37"/>
    <mergeCell ref="AV38:AZ38"/>
    <mergeCell ref="BA38:BF38"/>
    <mergeCell ref="BG38:BK38"/>
    <mergeCell ref="BL38:BQ38"/>
    <mergeCell ref="AV39:AZ39"/>
    <mergeCell ref="BA39:BF39"/>
    <mergeCell ref="BG39:BK39"/>
    <mergeCell ref="BL39:BQ39"/>
    <mergeCell ref="AV40:AZ40"/>
    <mergeCell ref="BA40:BF40"/>
    <mergeCell ref="BG40:BK40"/>
    <mergeCell ref="BL40:BQ40"/>
    <mergeCell ref="AV41:AZ41"/>
    <mergeCell ref="BA41:BF41"/>
    <mergeCell ref="BG41:BK41"/>
    <mergeCell ref="BL41:BQ41"/>
    <mergeCell ref="AV45:AZ45"/>
    <mergeCell ref="BA45:BF45"/>
    <mergeCell ref="BG45:BK45"/>
    <mergeCell ref="BL45:BQ45"/>
    <mergeCell ref="AV42:AZ42"/>
    <mergeCell ref="BA42:BF42"/>
    <mergeCell ref="BG42:BK42"/>
    <mergeCell ref="BL42:BQ42"/>
    <mergeCell ref="AV43:AZ43"/>
    <mergeCell ref="BA43:BF43"/>
    <mergeCell ref="BG43:BK43"/>
    <mergeCell ref="BL43:BQ43"/>
    <mergeCell ref="AV44:AZ44"/>
    <mergeCell ref="BA44:BF44"/>
    <mergeCell ref="BG44:BK44"/>
    <mergeCell ref="BL44:BQ44"/>
  </mergeCells>
  <phoneticPr fontId="86" type="noConversion"/>
  <dataValidations count="4">
    <dataValidation type="list" allowBlank="1" showInputMessage="1" showErrorMessage="1" sqref="AS27:AT27" xr:uid="{00000000-0002-0000-0800-00001E000000}">
      <formula1>"有,无"</formula1>
    </dataValidation>
    <dataValidation type="decimal" errorStyle="information" allowBlank="1" showInputMessage="1" showErrorMessage="1" errorTitle="温馨提示：不要填写单位" error="使用公式决定金钱只需填写数字，请勿填写如gp这样的单位，银币和铜币可以填写在小数点后，每0.1即是1银币，每0.01即是1铜币。_x000a_使用文字记录非钱币资源不会影响公式，如需继续请点击确定或敲一下回车即可。" sqref="BB8:BD45 BA6:BA45 BL6:BL45 BM7:BQ45" xr:uid="{D2548A7B-8A57-4B8F-8862-F4CA421F1F63}">
      <formula1>0</formula1>
      <formula2>9.9999E+307</formula2>
    </dataValidation>
    <dataValidation allowBlank="1" showInputMessage="1" showErrorMessage="1" promptTitle="使用公式决定收支" prompt="在下列栏目中输入入账和出账，即可自动计算收支，银币和铜币请填写为小数，例如0.1为1银币，0.01为1铜币。_x000a__x000a_栏目不足时，可以从合计结余处开始选中整行并框出更多所需行数→右键→插入→活动单元格下移，下方公式会自动计入新增的格子。选中已有格子并右键使用格式刷即可完善格式统一。" sqref="AV3" xr:uid="{4208D48B-4469-4F4E-8C9E-8C11DC88315B}"/>
    <dataValidation allowBlank="1" showErrorMessage="1" sqref="BG4:BQ4" xr:uid="{0CE8699C-0CD1-4494-9ED6-ED784DDFADB2}"/>
  </dataValidations>
  <pageMargins left="0.75" right="0.75" top="1" bottom="1" header="0.51180555555555596" footer="0.51180555555555596"/>
  <extLst>
    <ext xmlns:x14="http://schemas.microsoft.com/office/spreadsheetml/2009/9/main" uri="{CCE6A557-97BC-4b89-ADB6-D9C93CAAB3DF}">
      <x14:dataValidations xmlns:xm="http://schemas.microsoft.com/office/excel/2006/main" count="32">
        <x14:dataValidation type="list" allowBlank="1" showInputMessage="1" xr:uid="{00000000-0002-0000-0800-00000B000000}">
          <x14:formula1>
            <xm:f>数据表!$BZ$2</xm:f>
          </x14:formula1>
          <xm:sqref>Q16:U16</xm:sqref>
        </x14:dataValidation>
        <x14:dataValidation type="list" allowBlank="1" showInputMessage="1" xr:uid="{00000000-0002-0000-0800-00000D000000}">
          <x14:formula1>
            <xm:f>数据表!$BZ$3</xm:f>
          </x14:formula1>
          <xm:sqref>Q17:U17</xm:sqref>
        </x14:dataValidation>
        <x14:dataValidation type="list" allowBlank="1" showInputMessage="1" xr:uid="{00000000-0002-0000-0800-00000F000000}">
          <x14:formula1>
            <xm:f>数据表!$BZ$4</xm:f>
          </x14:formula1>
          <xm:sqref>Q18:U18</xm:sqref>
        </x14:dataValidation>
        <x14:dataValidation type="list" allowBlank="1" showInputMessage="1" xr:uid="{00000000-0002-0000-0800-000011000000}">
          <x14:formula1>
            <xm:f>数据表!$BZ$5</xm:f>
          </x14:formula1>
          <xm:sqref>Q19:U19</xm:sqref>
        </x14:dataValidation>
        <x14:dataValidation type="list" allowBlank="1" showInputMessage="1" xr:uid="{00000000-0002-0000-0800-000013000000}">
          <x14:formula1>
            <xm:f>数据表!$BZ$6</xm:f>
          </x14:formula1>
          <xm:sqref>Q20:U20</xm:sqref>
        </x14:dataValidation>
        <x14:dataValidation type="list" allowBlank="1" showInputMessage="1" xr:uid="{00000000-0002-0000-0800-000015000000}">
          <x14:formula1>
            <xm:f>数据表!$BZ$7</xm:f>
          </x14:formula1>
          <xm:sqref>Q21:U21</xm:sqref>
        </x14:dataValidation>
        <x14:dataValidation type="list" allowBlank="1" showInputMessage="1" xr:uid="{00000000-0002-0000-0800-000017000000}">
          <x14:formula1>
            <xm:f>数据表!$BZ$8</xm:f>
          </x14:formula1>
          <xm:sqref>Q22:U22</xm:sqref>
        </x14:dataValidation>
        <x14:dataValidation type="list" allowBlank="1" showInputMessage="1" xr:uid="{00000000-0002-0000-0800-000019000000}">
          <x14:formula1>
            <xm:f>数据表!$BZ$9</xm:f>
          </x14:formula1>
          <xm:sqref>Q23:U23</xm:sqref>
        </x14:dataValidation>
        <x14:dataValidation type="list" allowBlank="1" showInputMessage="1" xr:uid="{00000000-0002-0000-0800-00001B000000}">
          <x14:formula1>
            <xm:f>数据表!$BZ$10</xm:f>
          </x14:formula1>
          <xm:sqref>Q24:U24</xm:sqref>
        </x14:dataValidation>
        <x14:dataValidation type="list" allowBlank="1" showInputMessage="1" xr:uid="{00000000-0002-0000-0800-00001D000000}">
          <x14:formula1>
            <xm:f>数据表!$BZ$11</xm:f>
          </x14:formula1>
          <xm:sqref>Q25:U25</xm:sqref>
        </x14:dataValidation>
        <x14:dataValidation type="list" allowBlank="1" showInputMessage="1" xr:uid="{00000000-0002-0000-0800-00001F000000}">
          <x14:formula1>
            <xm:f>数据表!$BQ$2:$BQ$40</xm:f>
          </x14:formula1>
          <xm:sqref>B16:E25</xm:sqref>
        </x14:dataValidation>
        <x14:dataValidation type="list" allowBlank="1" showInputMessage="1" xr:uid="{00000000-0002-0000-0800-000020000000}">
          <x14:formula1>
            <xm:f>数据表!$BH$2:$BH$95</xm:f>
          </x14:formula1>
          <xm:sqref>Y16:AB25 B5:E14 Y5:AB14 B29:E38 Y29:AB38 B40:E49 Y40:AB49</xm:sqref>
        </x14:dataValidation>
        <x14:dataValidation type="list" allowBlank="1" showInputMessage="1" xr:uid="{00000000-0002-0000-0800-000000000000}">
          <x14:formula1>
            <xm:f>数据表!$BM$2</xm:f>
          </x14:formula1>
          <xm:sqref>F5:U5</xm:sqref>
        </x14:dataValidation>
        <x14:dataValidation type="list" allowBlank="1" showInputMessage="1" xr:uid="{00000000-0002-0000-0800-000001000000}">
          <x14:formula1>
            <xm:f>数据表!$BM$3</xm:f>
          </x14:formula1>
          <xm:sqref>F6:U6</xm:sqref>
        </x14:dataValidation>
        <x14:dataValidation type="list" allowBlank="1" showInputMessage="1" xr:uid="{00000000-0002-0000-0800-000002000000}">
          <x14:formula1>
            <xm:f>数据表!$BM$4</xm:f>
          </x14:formula1>
          <xm:sqref>F7:U7</xm:sqref>
        </x14:dataValidation>
        <x14:dataValidation type="list" allowBlank="1" showInputMessage="1" xr:uid="{00000000-0002-0000-0800-000003000000}">
          <x14:formula1>
            <xm:f>数据表!$BM$5</xm:f>
          </x14:formula1>
          <xm:sqref>F8:U8</xm:sqref>
        </x14:dataValidation>
        <x14:dataValidation type="list" allowBlank="1" showInputMessage="1" xr:uid="{00000000-0002-0000-0800-000004000000}">
          <x14:formula1>
            <xm:f>数据表!$BM$6</xm:f>
          </x14:formula1>
          <xm:sqref>F9:U9</xm:sqref>
        </x14:dataValidation>
        <x14:dataValidation type="list" allowBlank="1" showInputMessage="1" xr:uid="{00000000-0002-0000-0800-000005000000}">
          <x14:formula1>
            <xm:f>数据表!$BM$7</xm:f>
          </x14:formula1>
          <xm:sqref>F10:U10</xm:sqref>
        </x14:dataValidation>
        <x14:dataValidation type="list" allowBlank="1" showInputMessage="1" xr:uid="{00000000-0002-0000-0800-000006000000}">
          <x14:formula1>
            <xm:f>数据表!$BM$8</xm:f>
          </x14:formula1>
          <xm:sqref>F11:U11</xm:sqref>
        </x14:dataValidation>
        <x14:dataValidation type="list" allowBlank="1" showInputMessage="1" xr:uid="{00000000-0002-0000-0800-000007000000}">
          <x14:formula1>
            <xm:f>数据表!$BM$9</xm:f>
          </x14:formula1>
          <xm:sqref>F12:U12</xm:sqref>
        </x14:dataValidation>
        <x14:dataValidation type="list" allowBlank="1" showInputMessage="1" xr:uid="{00000000-0002-0000-0800-000008000000}">
          <x14:formula1>
            <xm:f>数据表!$BM$10</xm:f>
          </x14:formula1>
          <xm:sqref>F13:U13</xm:sqref>
        </x14:dataValidation>
        <x14:dataValidation type="list" allowBlank="1" showInputMessage="1" xr:uid="{00000000-0002-0000-0800-000009000000}">
          <x14:formula1>
            <xm:f>数据表!$BM$11</xm:f>
          </x14:formula1>
          <xm:sqref>F14:U14</xm:sqref>
        </x14:dataValidation>
        <x14:dataValidation type="list" allowBlank="1" showInputMessage="1" xr:uid="{00000000-0002-0000-0800-00000A000000}">
          <x14:formula1>
            <xm:f>数据表!$BY$2</xm:f>
          </x14:formula1>
          <xm:sqref>H16:P16</xm:sqref>
        </x14:dataValidation>
        <x14:dataValidation type="list" allowBlank="1" showInputMessage="1" xr:uid="{00000000-0002-0000-0800-00000C000000}">
          <x14:formula1>
            <xm:f>数据表!$BY$3</xm:f>
          </x14:formula1>
          <xm:sqref>H17:P17</xm:sqref>
        </x14:dataValidation>
        <x14:dataValidation type="list" allowBlank="1" showInputMessage="1" xr:uid="{00000000-0002-0000-0800-00000E000000}">
          <x14:formula1>
            <xm:f>数据表!$BY$4</xm:f>
          </x14:formula1>
          <xm:sqref>H18:P18</xm:sqref>
        </x14:dataValidation>
        <x14:dataValidation type="list" allowBlank="1" showInputMessage="1" xr:uid="{00000000-0002-0000-0800-000010000000}">
          <x14:formula1>
            <xm:f>数据表!$BY$5</xm:f>
          </x14:formula1>
          <xm:sqref>H19:P19</xm:sqref>
        </x14:dataValidation>
        <x14:dataValidation type="list" allowBlank="1" showInputMessage="1" xr:uid="{00000000-0002-0000-0800-000012000000}">
          <x14:formula1>
            <xm:f>数据表!$BY$6</xm:f>
          </x14:formula1>
          <xm:sqref>H20:P20</xm:sqref>
        </x14:dataValidation>
        <x14:dataValidation type="list" allowBlank="1" showInputMessage="1" xr:uid="{00000000-0002-0000-0800-000014000000}">
          <x14:formula1>
            <xm:f>数据表!$BY$7</xm:f>
          </x14:formula1>
          <xm:sqref>H21:P21</xm:sqref>
        </x14:dataValidation>
        <x14:dataValidation type="list" allowBlank="1" showInputMessage="1" xr:uid="{00000000-0002-0000-0800-000016000000}">
          <x14:formula1>
            <xm:f>数据表!$BY$8</xm:f>
          </x14:formula1>
          <xm:sqref>H22:P22</xm:sqref>
        </x14:dataValidation>
        <x14:dataValidation type="list" allowBlank="1" showInputMessage="1" xr:uid="{00000000-0002-0000-0800-000018000000}">
          <x14:formula1>
            <xm:f>数据表!$BY$9</xm:f>
          </x14:formula1>
          <xm:sqref>H23:P23</xm:sqref>
        </x14:dataValidation>
        <x14:dataValidation type="list" allowBlank="1" showInputMessage="1" xr:uid="{00000000-0002-0000-0800-00001A000000}">
          <x14:formula1>
            <xm:f>数据表!$BY$10</xm:f>
          </x14:formula1>
          <xm:sqref>H24:P24</xm:sqref>
        </x14:dataValidation>
        <x14:dataValidation type="list" allowBlank="1" showInputMessage="1" xr:uid="{00000000-0002-0000-0800-00001C000000}">
          <x14:formula1>
            <xm:f>数据表!$BY$11</xm:f>
          </x14:formula1>
          <xm:sqref>H25:P25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otherUserPermission="visible"/>
  <rangeList sheetStid="2" master="" otherUserPermission="visible"/>
  <rangeList sheetStid="10" master="" otherUserPermission="visible"/>
  <rangeList sheetStid="29" master="" otherUserPermission="visible"/>
  <rangeList sheetStid="18" master="" otherUserPermission="visible"/>
  <rangeList sheetStid="16" master="" otherUserPermission="visible"/>
  <rangeList sheetStid="27" master="" otherUserPermission="visible"/>
  <rangeList sheetStid="26" master="" otherUserPermission="visible"/>
  <rangeList sheetStid="3" master="" otherUserPermission="visible"/>
  <rangeList sheetStid="31" master="" otherUserPermission="visible"/>
  <rangeList sheetStid="30" master="" otherUserPermission="visible">
    <arrUserId title="区域3" rangeCreator="" othersAccessPermission="edit"/>
    <arrUserId title="区域2" rangeCreator="" othersAccessPermission="edit"/>
    <arrUserId title="区域1" rangeCreator="" othersAccessPermission="edit"/>
    <arrUserId title="区域1_1" rangeCreator="" othersAccessPermission="edit"/>
  </rangeList>
  <rangeList sheetStid="8" master="" otherUserPermission="visible"/>
  <rangeList sheetStid="24" master="" otherUserPermission="visible"/>
  <rangeList sheetStid="4" master="" otherUserPermission="visible"/>
  <rangeList sheetStid="28" master="" otherUserPermission="visible"/>
  <rangeList sheetStid="25" master="" otherUserPermission="visible"/>
  <rangeList sheetStid="2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命名范围</vt:lpstr>
      </vt:variant>
      <vt:variant>
        <vt:i4>38</vt:i4>
      </vt:variant>
    </vt:vector>
  </HeadingPairs>
  <TitlesOfParts>
    <vt:vector size="56" baseType="lpstr">
      <vt:lpstr>背景</vt:lpstr>
      <vt:lpstr>主要</vt:lpstr>
      <vt:lpstr>数据表</vt:lpstr>
      <vt:lpstr>专长</vt:lpstr>
      <vt:lpstr>职业</vt:lpstr>
      <vt:lpstr>装备</vt:lpstr>
      <vt:lpstr>种族</vt:lpstr>
      <vt:lpstr>背景数据</vt:lpstr>
      <vt:lpstr>背包</vt:lpstr>
      <vt:lpstr>盟友与魔宠</vt:lpstr>
      <vt:lpstr>据点</vt:lpstr>
      <vt:lpstr>法术书</vt:lpstr>
      <vt:lpstr>法术大全</vt:lpstr>
      <vt:lpstr>自定义调整栏</vt:lpstr>
      <vt:lpstr>圆形效应范围</vt:lpstr>
      <vt:lpstr>骰娘导入</vt:lpstr>
      <vt:lpstr>更新</vt:lpstr>
      <vt:lpstr> </vt:lpstr>
      <vt:lpstr>主要!Print_Area</vt:lpstr>
      <vt:lpstr>匕首</vt:lpstr>
      <vt:lpstr>鞭</vt:lpstr>
      <vt:lpstr>标枪</vt:lpstr>
      <vt:lpstr>捕网</vt:lpstr>
      <vt:lpstr>吹箭筒</vt:lpstr>
      <vt:lpstr>刺剑</vt:lpstr>
      <vt:lpstr>钉头锤</vt:lpstr>
      <vt:lpstr>短棒</vt:lpstr>
      <vt:lpstr>短弓</vt:lpstr>
      <vt:lpstr>短剑</vt:lpstr>
      <vt:lpstr>飞镖</vt:lpstr>
      <vt:lpstr>戟</vt:lpstr>
      <vt:lpstr>巨棒</vt:lpstr>
      <vt:lpstr>巨锤</vt:lpstr>
      <vt:lpstr>巨斧</vt:lpstr>
      <vt:lpstr>巨剑</vt:lpstr>
      <vt:lpstr>镰刀</vt:lpstr>
      <vt:lpstr>链枷</vt:lpstr>
      <vt:lpstr>矛</vt:lpstr>
      <vt:lpstr>骑枪</vt:lpstr>
      <vt:lpstr>轻锤</vt:lpstr>
      <vt:lpstr>轻弩</vt:lpstr>
      <vt:lpstr>三叉戟</vt:lpstr>
      <vt:lpstr>手斧</vt:lpstr>
      <vt:lpstr>手弩</vt:lpstr>
      <vt:lpstr>投石索</vt:lpstr>
      <vt:lpstr>弯刀</vt:lpstr>
      <vt:lpstr>硬头锤</vt:lpstr>
      <vt:lpstr>战锤</vt:lpstr>
      <vt:lpstr>战斧</vt:lpstr>
      <vt:lpstr>战镐</vt:lpstr>
      <vt:lpstr>长柄刀</vt:lpstr>
      <vt:lpstr>长弓</vt:lpstr>
      <vt:lpstr>长棍</vt:lpstr>
      <vt:lpstr>长剑</vt:lpstr>
      <vt:lpstr>长矛</vt:lpstr>
      <vt:lpstr>重弩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悲灵</dc:creator>
  <cp:lastModifiedBy>Angelette Ludwig</cp:lastModifiedBy>
  <dcterms:created xsi:type="dcterms:W3CDTF">2018-02-27T11:14:00Z</dcterms:created>
  <dcterms:modified xsi:type="dcterms:W3CDTF">2025-07-08T13:02:20Z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KSOReadingLayout">
    <vt:bool>true</vt:bool>
  </property>
  <property fmtid="{D5CDD505-2E9C-101B-9397-08002B2CF9AE}" pid="4" name="ICV">
    <vt:lpwstr>C99BAA4A22D444D8B9F59635C5EFF59F_12</vt:lpwstr>
  </property>
</Properties>
</file>